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CAP Rate Studies\CAP RATE STUDY 2026\2026 CAP Rate Study - All Industries - Worksheets\publish to website\"/>
    </mc:Choice>
  </mc:AlternateContent>
  <xr:revisionPtr revIDLastSave="0" documentId="8_{5C4C3C8A-6A76-439C-98F1-E91C301BDAAF}" xr6:coauthVersionLast="47" xr6:coauthVersionMax="47" xr10:uidLastSave="{00000000-0000-0000-0000-000000000000}"/>
  <bookViews>
    <workbookView xWindow="-24120" yWindow="-120" windowWidth="24240" windowHeight="13020" tabRatio="865" xr2:uid="{00000000-000D-0000-FFFF-FFFF00000000}"/>
  </bookViews>
  <sheets>
    <sheet name="Cover Sheet" sheetId="6" r:id="rId1"/>
    <sheet name="Yield CapRate" sheetId="7" r:id="rId2"/>
    <sheet name="Direct CapRates" sheetId="10" r:id="rId3"/>
    <sheet name="S&amp;D" sheetId="3" r:id="rId4"/>
    <sheet name="Market to Book Ratios" sheetId="29" r:id="rId5"/>
    <sheet name="Maintenance CapEx" sheetId="11" r:id="rId6"/>
    <sheet name="Beta for CAPM" sheetId="14" r:id="rId7"/>
    <sheet name="Dividends " sheetId="17" r:id="rId8"/>
    <sheet name="Earnings" sheetId="27" r:id="rId9"/>
    <sheet name="Debt" sheetId="8" r:id="rId10"/>
    <sheet name="Direct GCF" sheetId="5" r:id="rId11"/>
    <sheet name="Direct NOPAT" sheetId="12" r:id="rId12"/>
    <sheet name="CAPM" sheetId="34" r:id="rId13"/>
    <sheet name="Growth &amp; Inflation Rates" sheetId="24" r:id="rId14"/>
    <sheet name="Indicated Yield Equity Rate " sheetId="33" r:id="rId15"/>
    <sheet name="Single Stage Div Growth Model" sheetId="19" r:id="rId16"/>
    <sheet name="Two-Stage Div Growth Model" sheetId="20" r:id="rId17"/>
    <sheet name="Multiples" sheetId="25" r:id="rId18"/>
    <sheet name="Info" sheetId="9" r:id="rId19"/>
  </sheets>
  <definedNames>
    <definedName name="_xlnm.Print_Area" localSheetId="6">'Beta for CAPM'!$A$1:$H$34</definedName>
    <definedName name="_xlnm.Print_Area" localSheetId="12">CAPM!$A$1:$H$85</definedName>
    <definedName name="_xlnm.Print_Area" localSheetId="0">'Cover Sheet'!$A$1:$I$37</definedName>
    <definedName name="_xlnm.Print_Area" localSheetId="9">Debt!$A$1:$M$58</definedName>
    <definedName name="_xlnm.Print_Area" localSheetId="2">'Direct CapRates'!$A$1:$H$66</definedName>
    <definedName name="_xlnm.Print_Area" localSheetId="10">'Direct GCF'!$A$1:$N$37</definedName>
    <definedName name="_xlnm.Print_Area" localSheetId="11">'Direct NOPAT'!$A$1:$N$56</definedName>
    <definedName name="_xlnm.Print_Area" localSheetId="7">'Dividends '!$A$1:$K$29</definedName>
    <definedName name="_xlnm.Print_Area" localSheetId="8">Earnings!$A$1:$K$29</definedName>
    <definedName name="_xlnm.Print_Area" localSheetId="13">'Growth &amp; Inflation Rates'!$A$1:$I$108</definedName>
    <definedName name="_xlnm.Print_Area" localSheetId="14">'Indicated Yield Equity Rate '!$A$1:$F$54</definedName>
    <definedName name="_xlnm.Print_Area" localSheetId="5">'Maintenance CapEx'!$A$1:$L$74</definedName>
    <definedName name="_xlnm.Print_Area" localSheetId="4">'Market to Book Ratios'!$A$1:$G$56</definedName>
    <definedName name="_xlnm.Print_Area" localSheetId="17">Multiples!$A$1:$J$39</definedName>
    <definedName name="_xlnm.Print_Area" localSheetId="3">'S&amp;D'!$A$1:$L$73</definedName>
    <definedName name="_xlnm.Print_Area" localSheetId="15">'Single Stage Div Growth Model'!$A$1:$K$45</definedName>
    <definedName name="_xlnm.Print_Area" localSheetId="16">'Two-Stage Div Growth Model'!$A$1:$I$43</definedName>
    <definedName name="_xlnm.Print_Area" localSheetId="1">'Yield CapRate'!$A$1:$H$35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1" i="12" l="1"/>
  <c r="I31" i="12"/>
  <c r="J22" i="3"/>
  <c r="D23" i="11"/>
  <c r="G21" i="11"/>
  <c r="D21" i="11"/>
  <c r="G20" i="11"/>
  <c r="D20" i="11"/>
  <c r="E21" i="11"/>
  <c r="E20" i="11"/>
  <c r="E24" i="29"/>
  <c r="E23" i="29"/>
  <c r="E22" i="29"/>
  <c r="J26" i="3" l="1"/>
  <c r="H39" i="3" s="1"/>
  <c r="H38" i="3"/>
  <c r="J25" i="3"/>
  <c r="F37" i="3"/>
  <c r="F35" i="3"/>
  <c r="F36" i="3"/>
  <c r="J24" i="3"/>
  <c r="H37" i="3" s="1"/>
  <c r="J23" i="3"/>
  <c r="H36" i="3" s="1"/>
  <c r="H35" i="3"/>
  <c r="D7" i="3"/>
  <c r="H30" i="5" l="1"/>
  <c r="D56" i="10" s="1"/>
  <c r="G30" i="5"/>
  <c r="D58" i="10"/>
  <c r="D25" i="10"/>
  <c r="I16" i="8"/>
  <c r="J16" i="8" s="1"/>
  <c r="I17" i="8"/>
  <c r="J17" i="8" s="1"/>
  <c r="I18" i="8"/>
  <c r="J18" i="8" s="1"/>
  <c r="I19" i="8"/>
  <c r="J19" i="8" s="1"/>
  <c r="I15" i="8"/>
  <c r="J15" i="8" s="1"/>
  <c r="E45" i="12" l="1"/>
  <c r="E46" i="12"/>
  <c r="E47" i="12"/>
  <c r="E48" i="12"/>
  <c r="E44" i="12"/>
  <c r="K17" i="12"/>
  <c r="K18" i="12"/>
  <c r="K19" i="12"/>
  <c r="K20" i="12"/>
  <c r="K16" i="12"/>
  <c r="E17" i="12"/>
  <c r="E18" i="12"/>
  <c r="E19" i="12"/>
  <c r="E20" i="12"/>
  <c r="E16" i="12"/>
  <c r="A43" i="34" l="1"/>
  <c r="A42" i="34"/>
  <c r="B46" i="34"/>
  <c r="E16" i="34"/>
  <c r="C24" i="11"/>
  <c r="C23" i="11"/>
  <c r="C22" i="11"/>
  <c r="C21" i="11"/>
  <c r="C20" i="11"/>
  <c r="F21" i="20"/>
  <c r="E53" i="24"/>
  <c r="D53" i="24"/>
  <c r="E52" i="24"/>
  <c r="D52" i="24"/>
  <c r="E51" i="24"/>
  <c r="D51" i="24"/>
  <c r="E50" i="24"/>
  <c r="D50" i="24"/>
  <c r="F49" i="24"/>
  <c r="F47" i="24"/>
  <c r="F46" i="24"/>
  <c r="F45" i="24"/>
  <c r="F44" i="24"/>
  <c r="F43" i="24"/>
  <c r="F42" i="24"/>
  <c r="F41" i="24"/>
  <c r="F53" i="24" l="1"/>
  <c r="F51" i="24"/>
  <c r="F50" i="24"/>
  <c r="F52" i="24"/>
  <c r="J22" i="8" l="1"/>
  <c r="J21" i="8"/>
  <c r="I22" i="8"/>
  <c r="I21" i="8"/>
  <c r="G22" i="8"/>
  <c r="G21" i="8"/>
  <c r="H25" i="25"/>
  <c r="H24" i="25"/>
  <c r="E25" i="25"/>
  <c r="E24" i="25"/>
  <c r="H23" i="25"/>
  <c r="E23" i="25"/>
  <c r="H22" i="25"/>
  <c r="E22" i="25"/>
  <c r="H23" i="19"/>
  <c r="G23" i="19"/>
  <c r="H22" i="19"/>
  <c r="G22" i="19"/>
  <c r="E51" i="12"/>
  <c r="E50" i="12"/>
  <c r="K23" i="12"/>
  <c r="K22" i="12"/>
  <c r="E23" i="12"/>
  <c r="E22" i="12"/>
  <c r="J24" i="5"/>
  <c r="J23" i="5"/>
  <c r="D24" i="5"/>
  <c r="D23" i="5"/>
  <c r="I23" i="27"/>
  <c r="G23" i="27"/>
  <c r="I22" i="27"/>
  <c r="G22" i="27"/>
  <c r="E23" i="27"/>
  <c r="E22" i="27"/>
  <c r="I23" i="17"/>
  <c r="G23" i="17"/>
  <c r="I22" i="17"/>
  <c r="G22" i="17"/>
  <c r="E23" i="17"/>
  <c r="E22" i="17"/>
  <c r="H24" i="14" l="1"/>
  <c r="H23" i="14"/>
  <c r="A6" i="17" l="1"/>
  <c r="A48" i="34"/>
  <c r="A47" i="34"/>
  <c r="A46" i="34"/>
  <c r="A45" i="34"/>
  <c r="E46" i="34"/>
  <c r="B58" i="34"/>
  <c r="E58" i="34" s="1"/>
  <c r="B48" i="34"/>
  <c r="E48" i="34" s="1"/>
  <c r="B47" i="34"/>
  <c r="E47" i="34" s="1"/>
  <c r="A6" i="25"/>
  <c r="A6" i="20"/>
  <c r="A6" i="19"/>
  <c r="A6" i="34"/>
  <c r="A6" i="33"/>
  <c r="A7" i="24"/>
  <c r="A6" i="12"/>
  <c r="A6" i="5"/>
  <c r="A6" i="8"/>
  <c r="A6" i="27"/>
  <c r="A8" i="14"/>
  <c r="A8" i="11"/>
  <c r="A16" i="6"/>
  <c r="D16" i="7"/>
  <c r="D15" i="10"/>
  <c r="A9" i="29"/>
  <c r="B42" i="34"/>
  <c r="E42" i="34" s="1"/>
  <c r="B43" i="34"/>
  <c r="E43" i="34" s="1"/>
  <c r="D23" i="7"/>
  <c r="D44" i="33"/>
  <c r="D43" i="33"/>
  <c r="D42" i="33"/>
  <c r="D41" i="33"/>
  <c r="C16" i="34"/>
  <c r="C31" i="34" s="1"/>
  <c r="C57" i="34" s="1"/>
  <c r="B55" i="34"/>
  <c r="E55" i="34" s="1"/>
  <c r="B54" i="34"/>
  <c r="E54" i="34" s="1"/>
  <c r="B52" i="34"/>
  <c r="E52" i="34" s="1"/>
  <c r="B50" i="34"/>
  <c r="E50" i="34" s="1"/>
  <c r="B45" i="34"/>
  <c r="E45" i="34" s="1"/>
  <c r="B59" i="34"/>
  <c r="E59" i="34" s="1"/>
  <c r="B57" i="34"/>
  <c r="C20" i="34" l="1"/>
  <c r="C22" i="34"/>
  <c r="C32" i="34"/>
  <c r="C21" i="34"/>
  <c r="D21" i="34" s="1"/>
  <c r="C26" i="34"/>
  <c r="D26" i="34" s="1"/>
  <c r="C33" i="34"/>
  <c r="C59" i="34" s="1"/>
  <c r="C17" i="34"/>
  <c r="C29" i="34"/>
  <c r="D59" i="34" s="1"/>
  <c r="C42" i="34"/>
  <c r="D42" i="34" s="1"/>
  <c r="C28" i="34"/>
  <c r="C19" i="34"/>
  <c r="D16" i="34"/>
  <c r="C24" i="34"/>
  <c r="D57" i="34"/>
  <c r="E57" i="34"/>
  <c r="D31" i="34"/>
  <c r="D20" i="34" l="1"/>
  <c r="C46" i="34"/>
  <c r="D46" i="34" s="1"/>
  <c r="F16" i="34"/>
  <c r="D15" i="33" s="1"/>
  <c r="E33" i="34"/>
  <c r="F59" i="34" s="1"/>
  <c r="G59" i="34" s="1"/>
  <c r="D40" i="33" s="1"/>
  <c r="E21" i="34"/>
  <c r="F47" i="34" s="1"/>
  <c r="E26" i="34"/>
  <c r="F52" i="34" s="1"/>
  <c r="E24" i="34"/>
  <c r="F50" i="34" s="1"/>
  <c r="E32" i="34"/>
  <c r="F58" i="34" s="1"/>
  <c r="E20" i="34"/>
  <c r="E31" i="34"/>
  <c r="F57" i="34" s="1"/>
  <c r="G57" i="34" s="1"/>
  <c r="D38" i="33" s="1"/>
  <c r="E19" i="34"/>
  <c r="E29" i="34"/>
  <c r="F55" i="34" s="1"/>
  <c r="E17" i="34"/>
  <c r="F43" i="34" s="1"/>
  <c r="E28" i="34"/>
  <c r="F54" i="34" s="1"/>
  <c r="E22" i="34"/>
  <c r="F48" i="34" s="1"/>
  <c r="F42" i="34"/>
  <c r="G42" i="34" s="1"/>
  <c r="D28" i="33" s="1"/>
  <c r="F24" i="20"/>
  <c r="F22" i="20"/>
  <c r="F25" i="20"/>
  <c r="F23" i="20"/>
  <c r="D32" i="34"/>
  <c r="C58" i="34"/>
  <c r="D58" i="34" s="1"/>
  <c r="C47" i="34"/>
  <c r="D47" i="34" s="1"/>
  <c r="C48" i="34"/>
  <c r="D48" i="34" s="1"/>
  <c r="D22" i="34"/>
  <c r="C52" i="34"/>
  <c r="D52" i="34" s="1"/>
  <c r="D33" i="34"/>
  <c r="D19" i="34"/>
  <c r="C45" i="34"/>
  <c r="D45" i="34" s="1"/>
  <c r="D29" i="34"/>
  <c r="C55" i="34"/>
  <c r="D55" i="34" s="1"/>
  <c r="D24" i="34"/>
  <c r="C50" i="34"/>
  <c r="D50" i="34" s="1"/>
  <c r="C54" i="34"/>
  <c r="D54" i="34" s="1"/>
  <c r="D28" i="34"/>
  <c r="C43" i="34"/>
  <c r="D43" i="34" s="1"/>
  <c r="D17" i="34"/>
  <c r="F20" i="34" l="1"/>
  <c r="D18" i="33" s="1"/>
  <c r="F46" i="34"/>
  <c r="G50" i="34"/>
  <c r="D34" i="33" s="1"/>
  <c r="F32" i="34"/>
  <c r="D26" i="33" s="1"/>
  <c r="G58" i="34"/>
  <c r="D39" i="33" s="1"/>
  <c r="F24" i="34"/>
  <c r="D21" i="33" s="1"/>
  <c r="G55" i="34"/>
  <c r="D37" i="33" s="1"/>
  <c r="F22" i="34"/>
  <c r="D20" i="33" s="1"/>
  <c r="G48" i="34"/>
  <c r="D33" i="33" s="1"/>
  <c r="F45" i="34"/>
  <c r="G45" i="34" s="1"/>
  <c r="D30" i="33" s="1"/>
  <c r="G46" i="34"/>
  <c r="D31" i="33" s="1"/>
  <c r="F31" i="34"/>
  <c r="D25" i="33" s="1"/>
  <c r="F29" i="34"/>
  <c r="D24" i="33" s="1"/>
  <c r="F17" i="34"/>
  <c r="D16" i="33" s="1"/>
  <c r="G43" i="34"/>
  <c r="D29" i="33" s="1"/>
  <c r="F19" i="34"/>
  <c r="D17" i="33" s="1"/>
  <c r="F21" i="34"/>
  <c r="D19" i="33" s="1"/>
  <c r="F26" i="34"/>
  <c r="D22" i="33" s="1"/>
  <c r="G47" i="34"/>
  <c r="D32" i="33" s="1"/>
  <c r="F33" i="34"/>
  <c r="D27" i="33" s="1"/>
  <c r="F28" i="34"/>
  <c r="D23" i="33" s="1"/>
  <c r="G54" i="34"/>
  <c r="D36" i="33" s="1"/>
  <c r="G52" i="34"/>
  <c r="D35" i="33" s="1"/>
  <c r="D49" i="33" l="1"/>
  <c r="D46" i="33"/>
  <c r="D47" i="33"/>
  <c r="D48" i="33"/>
  <c r="F26" i="3" l="1"/>
  <c r="F25" i="3"/>
  <c r="F24" i="3"/>
  <c r="F23" i="3"/>
  <c r="F22" i="3"/>
  <c r="E21" i="20"/>
  <c r="A44" i="12" l="1"/>
  <c r="C44" i="12"/>
  <c r="D44" i="12"/>
  <c r="A45" i="12"/>
  <c r="C45" i="12"/>
  <c r="D45" i="12"/>
  <c r="A46" i="12"/>
  <c r="C46" i="12"/>
  <c r="D46" i="12"/>
  <c r="A47" i="12"/>
  <c r="C47" i="12"/>
  <c r="D47" i="12"/>
  <c r="A48" i="12"/>
  <c r="C48" i="12"/>
  <c r="D48" i="12"/>
  <c r="E52" i="12" l="1"/>
  <c r="F48" i="12"/>
  <c r="G48" i="12" s="1"/>
  <c r="F47" i="12"/>
  <c r="G47" i="12" s="1"/>
  <c r="F46" i="12"/>
  <c r="G46" i="12" s="1"/>
  <c r="F45" i="12"/>
  <c r="G45" i="12" s="1"/>
  <c r="F44" i="12"/>
  <c r="E53" i="12"/>
  <c r="F50" i="12" l="1"/>
  <c r="F51" i="12"/>
  <c r="F53" i="12"/>
  <c r="F52" i="12"/>
  <c r="G44" i="12"/>
  <c r="G52" i="12" l="1"/>
  <c r="G50" i="12"/>
  <c r="G51" i="12"/>
  <c r="G53" i="12"/>
  <c r="D39" i="3" l="1"/>
  <c r="D20" i="25"/>
  <c r="C20" i="25"/>
  <c r="B20" i="25"/>
  <c r="D19" i="25"/>
  <c r="C19" i="25"/>
  <c r="B19" i="25"/>
  <c r="D18" i="25"/>
  <c r="C18" i="25"/>
  <c r="B18" i="25"/>
  <c r="D17" i="25"/>
  <c r="C17" i="25"/>
  <c r="B17" i="25"/>
  <c r="E25" i="20"/>
  <c r="C25" i="20"/>
  <c r="B25" i="20"/>
  <c r="A25" i="20"/>
  <c r="E24" i="20"/>
  <c r="C24" i="20"/>
  <c r="B24" i="20"/>
  <c r="A24" i="20"/>
  <c r="E23" i="20"/>
  <c r="C23" i="20"/>
  <c r="B23" i="20"/>
  <c r="A23" i="20"/>
  <c r="E22" i="20"/>
  <c r="C22" i="20"/>
  <c r="B22" i="20"/>
  <c r="A22" i="20"/>
  <c r="D21" i="19"/>
  <c r="C21" i="19"/>
  <c r="B21" i="19"/>
  <c r="A21" i="19"/>
  <c r="D20" i="19"/>
  <c r="C20" i="19"/>
  <c r="B20" i="19"/>
  <c r="A20" i="19"/>
  <c r="D19" i="19"/>
  <c r="C19" i="19"/>
  <c r="B19" i="19"/>
  <c r="A19" i="19"/>
  <c r="D18" i="19"/>
  <c r="C18" i="19"/>
  <c r="B18" i="19"/>
  <c r="A18" i="19"/>
  <c r="D20" i="12"/>
  <c r="J20" i="12" s="1"/>
  <c r="L20" i="12" s="1"/>
  <c r="M20" i="12" s="1"/>
  <c r="C20" i="12"/>
  <c r="I20" i="12" s="1"/>
  <c r="A20" i="12"/>
  <c r="D19" i="12"/>
  <c r="J19" i="12" s="1"/>
  <c r="L19" i="12" s="1"/>
  <c r="M19" i="12" s="1"/>
  <c r="C19" i="12"/>
  <c r="I19" i="12" s="1"/>
  <c r="A19" i="12"/>
  <c r="D18" i="12"/>
  <c r="F18" i="12" s="1"/>
  <c r="G18" i="12" s="1"/>
  <c r="C18" i="12"/>
  <c r="I18" i="12" s="1"/>
  <c r="A18" i="12"/>
  <c r="D17" i="12"/>
  <c r="J17" i="12" s="1"/>
  <c r="L17" i="12" s="1"/>
  <c r="M17" i="12" s="1"/>
  <c r="C17" i="12"/>
  <c r="I17" i="12" s="1"/>
  <c r="A17" i="12"/>
  <c r="C21" i="5"/>
  <c r="E21" i="5" s="1"/>
  <c r="F21" i="5" s="1"/>
  <c r="B21" i="5"/>
  <c r="H21" i="5" s="1"/>
  <c r="A21" i="5"/>
  <c r="C20" i="5"/>
  <c r="I20" i="5" s="1"/>
  <c r="L20" i="5" s="1"/>
  <c r="M20" i="5" s="1"/>
  <c r="B20" i="5"/>
  <c r="H20" i="5" s="1"/>
  <c r="A20" i="5"/>
  <c r="C19" i="5"/>
  <c r="I19" i="5" s="1"/>
  <c r="L19" i="5" s="1"/>
  <c r="M19" i="5" s="1"/>
  <c r="B19" i="5"/>
  <c r="H19" i="5" s="1"/>
  <c r="A19" i="5"/>
  <c r="C18" i="5"/>
  <c r="E18" i="5" s="1"/>
  <c r="F18" i="5" s="1"/>
  <c r="B18" i="5"/>
  <c r="H18" i="5" s="1"/>
  <c r="A18" i="5"/>
  <c r="E19" i="8"/>
  <c r="D19" i="8"/>
  <c r="C19" i="8"/>
  <c r="B19" i="8"/>
  <c r="A19" i="8"/>
  <c r="E18" i="8"/>
  <c r="D18" i="8"/>
  <c r="C18" i="8"/>
  <c r="B18" i="8"/>
  <c r="A18" i="8"/>
  <c r="E17" i="8"/>
  <c r="D17" i="8"/>
  <c r="C17" i="8"/>
  <c r="B17" i="8"/>
  <c r="A17" i="8"/>
  <c r="E16" i="8"/>
  <c r="D16" i="8"/>
  <c r="C16" i="8"/>
  <c r="B16" i="8"/>
  <c r="A16" i="8"/>
  <c r="K20" i="27"/>
  <c r="D20" i="27"/>
  <c r="J20" i="27" s="1"/>
  <c r="C20" i="27"/>
  <c r="B20" i="27"/>
  <c r="A20" i="27"/>
  <c r="K19" i="27"/>
  <c r="D19" i="27"/>
  <c r="J19" i="27" s="1"/>
  <c r="C19" i="27"/>
  <c r="B19" i="27"/>
  <c r="A19" i="27"/>
  <c r="K18" i="27"/>
  <c r="D18" i="27"/>
  <c r="J18" i="27" s="1"/>
  <c r="C18" i="27"/>
  <c r="B18" i="27"/>
  <c r="A18" i="27"/>
  <c r="K17" i="27"/>
  <c r="D17" i="27"/>
  <c r="J17" i="27" s="1"/>
  <c r="C17" i="27"/>
  <c r="B17" i="27"/>
  <c r="A17" i="27"/>
  <c r="K20" i="17"/>
  <c r="D20" i="17"/>
  <c r="J20" i="17" s="1"/>
  <c r="C20" i="17"/>
  <c r="B20" i="17"/>
  <c r="A20" i="17"/>
  <c r="K19" i="17"/>
  <c r="D19" i="17"/>
  <c r="J19" i="17" s="1"/>
  <c r="C19" i="17"/>
  <c r="B19" i="17"/>
  <c r="A19" i="17"/>
  <c r="K18" i="17"/>
  <c r="D18" i="17"/>
  <c r="J18" i="17" s="1"/>
  <c r="C18" i="17"/>
  <c r="B18" i="17"/>
  <c r="A18" i="17"/>
  <c r="K17" i="17"/>
  <c r="D17" i="17"/>
  <c r="J17" i="17" s="1"/>
  <c r="C17" i="17"/>
  <c r="B17" i="17"/>
  <c r="A17" i="17"/>
  <c r="C22" i="14"/>
  <c r="B22" i="14"/>
  <c r="A22" i="14"/>
  <c r="C21" i="14"/>
  <c r="B21" i="14"/>
  <c r="A21" i="14"/>
  <c r="C20" i="14"/>
  <c r="B20" i="14"/>
  <c r="A20" i="14"/>
  <c r="C19" i="14"/>
  <c r="B19" i="14"/>
  <c r="A19" i="14"/>
  <c r="F24" i="11"/>
  <c r="H24" i="11" s="1"/>
  <c r="B24" i="11"/>
  <c r="A24" i="11"/>
  <c r="F23" i="11"/>
  <c r="H23" i="11" s="1"/>
  <c r="J23" i="11" s="1"/>
  <c r="B23" i="11"/>
  <c r="A23" i="11"/>
  <c r="F22" i="11"/>
  <c r="H22" i="11" s="1"/>
  <c r="B22" i="11"/>
  <c r="A22" i="11"/>
  <c r="F21" i="11"/>
  <c r="H21" i="11" s="1"/>
  <c r="B21" i="11"/>
  <c r="A21" i="11"/>
  <c r="C26" i="29"/>
  <c r="C42" i="29" s="1"/>
  <c r="B26" i="29"/>
  <c r="B42" i="29" s="1"/>
  <c r="A26" i="29"/>
  <c r="A42" i="29" s="1"/>
  <c r="C25" i="29"/>
  <c r="C41" i="29" s="1"/>
  <c r="B25" i="29"/>
  <c r="B41" i="29" s="1"/>
  <c r="A25" i="29"/>
  <c r="A41" i="29" s="1"/>
  <c r="C24" i="29"/>
  <c r="C40" i="29" s="1"/>
  <c r="B24" i="29"/>
  <c r="B40" i="29" s="1"/>
  <c r="A24" i="29"/>
  <c r="A40" i="29" s="1"/>
  <c r="C23" i="29"/>
  <c r="C39" i="29" s="1"/>
  <c r="B23" i="29"/>
  <c r="B39" i="29" s="1"/>
  <c r="A23" i="29"/>
  <c r="A39" i="29" s="1"/>
  <c r="E39" i="3"/>
  <c r="E38" i="3"/>
  <c r="D38" i="3"/>
  <c r="E37" i="3"/>
  <c r="D37" i="3"/>
  <c r="E36" i="3"/>
  <c r="D36" i="3"/>
  <c r="I36" i="3" s="1"/>
  <c r="K36" i="3" s="1"/>
  <c r="E41" i="29"/>
  <c r="E40" i="29"/>
  <c r="C39" i="3"/>
  <c r="B39" i="3"/>
  <c r="A39" i="3"/>
  <c r="C38" i="3"/>
  <c r="B38" i="3"/>
  <c r="A38" i="3"/>
  <c r="C37" i="3"/>
  <c r="B37" i="3"/>
  <c r="A37" i="3"/>
  <c r="C36" i="3"/>
  <c r="B36" i="3"/>
  <c r="A36" i="3"/>
  <c r="E19" i="19" l="1"/>
  <c r="I37" i="3"/>
  <c r="K37" i="3" s="1"/>
  <c r="E20" i="19"/>
  <c r="I38" i="3"/>
  <c r="K38" i="3" s="1"/>
  <c r="I39" i="3"/>
  <c r="K39" i="3" s="1"/>
  <c r="F18" i="25"/>
  <c r="G18" i="25" s="1"/>
  <c r="I18" i="25"/>
  <c r="J18" i="25" s="1"/>
  <c r="F17" i="25"/>
  <c r="G17" i="25" s="1"/>
  <c r="I17" i="25"/>
  <c r="J17" i="25" s="1"/>
  <c r="F20" i="25"/>
  <c r="G20" i="25" s="1"/>
  <c r="I20" i="25"/>
  <c r="J20" i="25" s="1"/>
  <c r="F19" i="25"/>
  <c r="G19" i="25" s="1"/>
  <c r="I19" i="25"/>
  <c r="J19" i="25" s="1"/>
  <c r="J24" i="11"/>
  <c r="I23" i="11"/>
  <c r="K23" i="11" s="1"/>
  <c r="L23" i="11" s="1"/>
  <c r="I21" i="11"/>
  <c r="F19" i="17"/>
  <c r="E42" i="29"/>
  <c r="D39" i="29"/>
  <c r="F20" i="27"/>
  <c r="F18" i="17"/>
  <c r="F20" i="17"/>
  <c r="F18" i="27"/>
  <c r="E39" i="29"/>
  <c r="F19" i="12"/>
  <c r="G19" i="12" s="1"/>
  <c r="E19" i="5"/>
  <c r="F19" i="5" s="1"/>
  <c r="F17" i="27"/>
  <c r="F19" i="27"/>
  <c r="E20" i="5"/>
  <c r="F20" i="5" s="1"/>
  <c r="F17" i="17"/>
  <c r="F17" i="12"/>
  <c r="G17" i="12" s="1"/>
  <c r="E21" i="19"/>
  <c r="D26" i="29"/>
  <c r="F26" i="29" s="1"/>
  <c r="D23" i="29"/>
  <c r="F23" i="29" s="1"/>
  <c r="D24" i="29"/>
  <c r="F24" i="29" s="1"/>
  <c r="D25" i="29"/>
  <c r="F25" i="29" s="1"/>
  <c r="E18" i="19"/>
  <c r="F20" i="12"/>
  <c r="G20" i="12" s="1"/>
  <c r="J18" i="12"/>
  <c r="L18" i="12" s="1"/>
  <c r="M18" i="12" s="1"/>
  <c r="I21" i="5"/>
  <c r="L21" i="5" s="1"/>
  <c r="M21" i="5" s="1"/>
  <c r="I18" i="5"/>
  <c r="L18" i="5" s="1"/>
  <c r="M18" i="5" s="1"/>
  <c r="H17" i="27"/>
  <c r="H18" i="27"/>
  <c r="H19" i="27"/>
  <c r="H20" i="27"/>
  <c r="H17" i="17"/>
  <c r="H18" i="17"/>
  <c r="H19" i="17"/>
  <c r="H20" i="17"/>
  <c r="J21" i="11"/>
  <c r="I22" i="11"/>
  <c r="I24" i="11"/>
  <c r="J22" i="11"/>
  <c r="J36" i="3"/>
  <c r="J38" i="3" l="1"/>
  <c r="J39" i="3"/>
  <c r="D23" i="20"/>
  <c r="F19" i="19"/>
  <c r="J19" i="19" s="1"/>
  <c r="F18" i="19"/>
  <c r="D22" i="20"/>
  <c r="F21" i="19"/>
  <c r="J21" i="19" s="1"/>
  <c r="D25" i="20"/>
  <c r="D24" i="20"/>
  <c r="F20" i="19"/>
  <c r="J20" i="19" s="1"/>
  <c r="K24" i="11"/>
  <c r="L24" i="11" s="1"/>
  <c r="K21" i="11"/>
  <c r="L21" i="11" s="1"/>
  <c r="K22" i="11"/>
  <c r="L22" i="11" s="1"/>
  <c r="D41" i="29"/>
  <c r="F41" i="29" s="1"/>
  <c r="D40" i="29"/>
  <c r="F40" i="29" s="1"/>
  <c r="D42" i="29"/>
  <c r="F42" i="29" s="1"/>
  <c r="F39" i="29"/>
  <c r="I21" i="19" l="1"/>
  <c r="I19" i="19"/>
  <c r="I20" i="19"/>
  <c r="J37" i="3"/>
  <c r="J18" i="19"/>
  <c r="I18" i="19"/>
  <c r="G24" i="8"/>
  <c r="G23" i="8"/>
  <c r="A20" i="11" l="1"/>
  <c r="C21" i="20" l="1"/>
  <c r="B21" i="20"/>
  <c r="A21" i="20"/>
  <c r="C17" i="19"/>
  <c r="B17" i="19"/>
  <c r="A17" i="19"/>
  <c r="C16" i="12"/>
  <c r="I16" i="12" s="1"/>
  <c r="A16" i="12"/>
  <c r="B17" i="5"/>
  <c r="H17" i="5" s="1"/>
  <c r="A17" i="5"/>
  <c r="D15" i="8"/>
  <c r="C16" i="25" l="1"/>
  <c r="B16" i="25"/>
  <c r="C15" i="8"/>
  <c r="B15" i="8"/>
  <c r="A15" i="8"/>
  <c r="C16" i="27"/>
  <c r="B16" i="27"/>
  <c r="A16" i="27"/>
  <c r="C16" i="17"/>
  <c r="B16" i="17"/>
  <c r="A16" i="17"/>
  <c r="C18" i="14" l="1"/>
  <c r="B18" i="14"/>
  <c r="A18" i="14"/>
  <c r="B20" i="11" l="1"/>
  <c r="C22" i="29"/>
  <c r="C38" i="29" s="1"/>
  <c r="B22" i="29"/>
  <c r="B38" i="29" s="1"/>
  <c r="A22" i="29"/>
  <c r="A38" i="29" s="1"/>
  <c r="G64" i="10" l="1"/>
  <c r="K16" i="17"/>
  <c r="B51" i="29"/>
  <c r="I25" i="27"/>
  <c r="G25" i="27"/>
  <c r="E25" i="27"/>
  <c r="I24" i="27"/>
  <c r="G24" i="27"/>
  <c r="E24" i="27"/>
  <c r="K16" i="27"/>
  <c r="D16" i="27"/>
  <c r="J16" i="27" s="1"/>
  <c r="K23" i="27" l="1"/>
  <c r="K22" i="27"/>
  <c r="K23" i="17"/>
  <c r="K22" i="17"/>
  <c r="J22" i="27"/>
  <c r="J23" i="27"/>
  <c r="A15" i="24"/>
  <c r="G22" i="20"/>
  <c r="H22" i="20" s="1"/>
  <c r="G24" i="20"/>
  <c r="H24" i="20" s="1"/>
  <c r="G23" i="20"/>
  <c r="H23" i="20" s="1"/>
  <c r="G25" i="20"/>
  <c r="H25" i="20" s="1"/>
  <c r="D48" i="10"/>
  <c r="K25" i="27"/>
  <c r="K24" i="27"/>
  <c r="F16" i="27"/>
  <c r="H16" i="27"/>
  <c r="K24" i="17"/>
  <c r="K25" i="17"/>
  <c r="G15" i="24" l="1"/>
  <c r="G16" i="24"/>
  <c r="F15" i="24"/>
  <c r="F16" i="24"/>
  <c r="H22" i="27"/>
  <c r="H23" i="27"/>
  <c r="F23" i="27"/>
  <c r="F22" i="27"/>
  <c r="J25" i="27"/>
  <c r="J24" i="27"/>
  <c r="F25" i="27"/>
  <c r="F24" i="27"/>
  <c r="H25" i="27"/>
  <c r="H24" i="27"/>
  <c r="I25" i="17" l="1"/>
  <c r="I24" i="17"/>
  <c r="G31" i="10" l="1"/>
  <c r="D16" i="25"/>
  <c r="I16" i="25" s="1"/>
  <c r="J16" i="25" l="1"/>
  <c r="J24" i="25" s="1"/>
  <c r="I22" i="25"/>
  <c r="I23" i="25"/>
  <c r="J25" i="25"/>
  <c r="I25" i="25"/>
  <c r="I24" i="25"/>
  <c r="G21" i="20"/>
  <c r="F16" i="25"/>
  <c r="H25" i="19"/>
  <c r="G25" i="19"/>
  <c r="H24" i="19"/>
  <c r="G24" i="19"/>
  <c r="D17" i="19"/>
  <c r="G25" i="17"/>
  <c r="G24" i="17"/>
  <c r="D16" i="17"/>
  <c r="J16" i="17" s="1"/>
  <c r="E25" i="17"/>
  <c r="E24" i="17"/>
  <c r="H26" i="14"/>
  <c r="H25" i="14"/>
  <c r="I24" i="8"/>
  <c r="I23" i="8"/>
  <c r="F20" i="11"/>
  <c r="H20" i="11" s="1"/>
  <c r="E15" i="8"/>
  <c r="C17" i="5"/>
  <c r="I17" i="5" s="1"/>
  <c r="L17" i="5" s="1"/>
  <c r="D23" i="10"/>
  <c r="K25" i="12"/>
  <c r="E25" i="12"/>
  <c r="K24" i="12"/>
  <c r="E24" i="12"/>
  <c r="D16" i="12"/>
  <c r="J16" i="12" s="1"/>
  <c r="L24" i="5" l="1"/>
  <c r="L23" i="5"/>
  <c r="J22" i="17"/>
  <c r="J23" i="17"/>
  <c r="G16" i="25"/>
  <c r="G25" i="25" s="1"/>
  <c r="F22" i="25"/>
  <c r="F23" i="25"/>
  <c r="J22" i="25"/>
  <c r="J23" i="25"/>
  <c r="J25" i="17"/>
  <c r="J24" i="17"/>
  <c r="L16" i="12"/>
  <c r="H16" i="17"/>
  <c r="F16" i="17"/>
  <c r="F25" i="25"/>
  <c r="F24" i="25"/>
  <c r="F16" i="12"/>
  <c r="F22" i="17" l="1"/>
  <c r="F23" i="17"/>
  <c r="H22" i="17"/>
  <c r="H23" i="17"/>
  <c r="G24" i="25"/>
  <c r="L23" i="12"/>
  <c r="L22" i="12"/>
  <c r="G22" i="25"/>
  <c r="G23" i="25"/>
  <c r="G16" i="12"/>
  <c r="F23" i="12"/>
  <c r="F22" i="12"/>
  <c r="F17" i="19"/>
  <c r="D21" i="20"/>
  <c r="H21" i="20" s="1"/>
  <c r="F24" i="17"/>
  <c r="F25" i="17"/>
  <c r="H24" i="17"/>
  <c r="H25" i="17"/>
  <c r="F25" i="12"/>
  <c r="F24" i="12"/>
  <c r="M16" i="12"/>
  <c r="G25" i="12" l="1"/>
  <c r="G24" i="12"/>
  <c r="F23" i="19"/>
  <c r="F22" i="19"/>
  <c r="M23" i="12"/>
  <c r="M22" i="12"/>
  <c r="G23" i="12"/>
  <c r="G22" i="12"/>
  <c r="H27" i="20"/>
  <c r="H26" i="20"/>
  <c r="H29" i="20"/>
  <c r="H28" i="20"/>
  <c r="L25" i="12"/>
  <c r="L24" i="12"/>
  <c r="J17" i="19"/>
  <c r="F25" i="19"/>
  <c r="F24" i="19"/>
  <c r="I17" i="19"/>
  <c r="M25" i="12"/>
  <c r="M24" i="12"/>
  <c r="J23" i="19" l="1"/>
  <c r="J22" i="19"/>
  <c r="I23" i="19"/>
  <c r="I22" i="19"/>
  <c r="J25" i="19"/>
  <c r="J24" i="19"/>
  <c r="I25" i="19"/>
  <c r="I24" i="19"/>
  <c r="J26" i="5"/>
  <c r="J25" i="5"/>
  <c r="J20" i="11"/>
  <c r="I20" i="11"/>
  <c r="C58" i="10"/>
  <c r="C56" i="10"/>
  <c r="F58" i="10"/>
  <c r="F25" i="10"/>
  <c r="C25" i="10"/>
  <c r="F23" i="10"/>
  <c r="C23" i="10"/>
  <c r="K20" i="11" l="1"/>
  <c r="L20" i="11" s="1"/>
  <c r="G25" i="10"/>
  <c r="C27" i="10"/>
  <c r="C60" i="10"/>
  <c r="G23" i="10"/>
  <c r="G58" i="10"/>
  <c r="L26" i="11" l="1"/>
  <c r="L27" i="11"/>
  <c r="D38" i="29"/>
  <c r="E38" i="29"/>
  <c r="L28" i="11"/>
  <c r="L29" i="11"/>
  <c r="G27" i="10"/>
  <c r="F38" i="29" l="1"/>
  <c r="M17" i="5"/>
  <c r="L25" i="5"/>
  <c r="L26" i="5"/>
  <c r="M24" i="5" l="1"/>
  <c r="M23" i="5"/>
  <c r="F43" i="29"/>
  <c r="D51" i="29" s="1"/>
  <c r="M26" i="5"/>
  <c r="M25" i="5"/>
  <c r="E17" i="5" l="1"/>
  <c r="E23" i="5" l="1"/>
  <c r="E24" i="5"/>
  <c r="C23" i="7"/>
  <c r="C50" i="29" s="1"/>
  <c r="C25" i="7"/>
  <c r="C51" i="29" s="1"/>
  <c r="E51" i="29" s="1"/>
  <c r="D25" i="7" l="1"/>
  <c r="J23" i="8" l="1"/>
  <c r="J24" i="8" l="1"/>
  <c r="D35" i="3" l="1"/>
  <c r="E17" i="19" l="1"/>
  <c r="D22" i="29"/>
  <c r="F22" i="29" s="1"/>
  <c r="F27" i="29" s="1"/>
  <c r="D50" i="29" s="1"/>
  <c r="E50" i="29" s="1"/>
  <c r="E52" i="29" s="1"/>
  <c r="D26" i="5" l="1"/>
  <c r="D25" i="5"/>
  <c r="E35" i="3" l="1"/>
  <c r="I35" i="3" l="1"/>
  <c r="K35" i="3" s="1"/>
  <c r="J35" i="3" l="1"/>
  <c r="J41" i="3" s="1"/>
  <c r="K41" i="3"/>
  <c r="K42" i="3"/>
  <c r="K44" i="3"/>
  <c r="J43" i="3"/>
  <c r="J42" i="3"/>
  <c r="C35" i="3"/>
  <c r="B35" i="3" l="1"/>
  <c r="A35" i="3"/>
  <c r="E25" i="5" l="1"/>
  <c r="K43" i="3"/>
  <c r="E26" i="5"/>
  <c r="J44" i="3"/>
  <c r="F17" i="5"/>
  <c r="F25" i="5" l="1"/>
  <c r="F23" i="5"/>
  <c r="F24" i="5"/>
  <c r="F23" i="7"/>
  <c r="G23" i="7" s="1"/>
  <c r="F26" i="5"/>
  <c r="C27" i="7"/>
  <c r="F25" i="7"/>
  <c r="G25" i="7" s="1"/>
  <c r="F56" i="10" l="1"/>
  <c r="G56" i="10" s="1"/>
  <c r="G60" i="10" s="1"/>
  <c r="G2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rev3569</author>
    <author>rev4287</author>
    <author>Baker, Mike A (DOR)</author>
    <author>rev4175</author>
    <author>rev3857</author>
  </authors>
  <commentList>
    <comment ref="J18" authorId="0" shapeId="0" xr:uid="{972DA2FB-7A83-4A04-9691-7A22BCBED2A1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H22" authorId="1" shapeId="0" xr:uid="{B4A28626-1652-4FB8-9EB9-E535E8F69B6C}">
      <text>
        <r>
          <rPr>
            <b/>
            <sz val="9"/>
            <color indexed="81"/>
            <rFont val="Tahoma"/>
            <family val="2"/>
          </rPr>
          <t>rev4287:</t>
        </r>
        <r>
          <rPr>
            <sz val="9"/>
            <color indexed="81"/>
            <rFont val="Tahoma"/>
            <family val="2"/>
          </rPr>
          <t xml:space="preserve">
Annual Financial Statements page 40 of pdf Note 18
NOTE: The 2025 40F on the website is not a 40F it is another copy of the AIF</t>
        </r>
      </text>
    </comment>
    <comment ref="J22" authorId="2" shapeId="0" xr:uid="{FBE6CA57-1AFA-497C-A7DF-31F36E620913}">
      <text>
        <r>
          <rPr>
            <b/>
            <sz val="9"/>
            <color indexed="81"/>
            <rFont val="Tahoma"/>
            <family val="2"/>
          </rPr>
          <t>Justus, Elizabeth (DOR):</t>
        </r>
        <r>
          <rPr>
            <sz val="9"/>
            <color indexed="81"/>
            <rFont val="Tahoma"/>
            <family val="2"/>
          </rPr>
          <t>Page 7 of pdf annual financial statements</t>
        </r>
      </text>
    </comment>
    <comment ref="H23" authorId="1" shapeId="0" xr:uid="{67109EC3-A6F0-47FE-BBCB-763595EEFCB7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Page 66 of pdf of 10-K</t>
        </r>
      </text>
    </comment>
    <comment ref="J23" authorId="1" shapeId="0" xr:uid="{8A7EB733-9536-44AD-AF69-996269ABE18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Page 77 of pdf of annual report</t>
        </r>
      </text>
    </comment>
    <comment ref="H24" authorId="1" shapeId="0" xr:uid="{C545E967-A4AC-4260-A82A-069E3DD90599}">
      <text>
        <r>
          <rPr>
            <b/>
            <sz val="9"/>
            <color indexed="81"/>
            <rFont val="Tahoma"/>
            <family val="2"/>
          </rPr>
          <t>rev4175
10K page 64 of pdf</t>
        </r>
      </text>
    </comment>
    <comment ref="I24" authorId="1" shapeId="0" xr:uid="{005EB66D-1543-4D35-867F-98D440F0F2BB}">
      <text>
        <r>
          <rPr>
            <b/>
            <sz val="9"/>
            <color indexed="81"/>
            <rFont val="Tahoma"/>
            <family val="2"/>
          </rPr>
          <t>rev4175
10K page 64 of pdf</t>
        </r>
      </text>
    </comment>
    <comment ref="J24" authorId="2" shapeId="0" xr:uid="{0A1DB4DD-C5D8-4C7E-AD04-820ABB6CFAE8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10K page 55 of pdf
</t>
        </r>
      </text>
    </comment>
    <comment ref="H25" authorId="1" shapeId="0" xr:uid="{D5ADE54E-D721-434B-87FF-32D488A5E949}">
      <text>
        <r>
          <rPr>
            <b/>
            <sz val="9"/>
            <color indexed="81"/>
            <rFont val="Tahoma"/>
            <family val="2"/>
          </rPr>
          <t>rev4175</t>
        </r>
        <r>
          <rPr>
            <sz val="9"/>
            <color indexed="81"/>
            <rFont val="Tahoma"/>
            <family val="2"/>
          </rPr>
          <t xml:space="preserve">
Page 51 of pdf</t>
        </r>
      </text>
    </comment>
    <comment ref="J25" authorId="2" shapeId="0" xr:uid="{CA669990-4E17-457D-9DE4-3BC04DEB5E20}">
      <text>
        <r>
          <rPr>
            <b/>
            <sz val="9"/>
            <color indexed="81"/>
            <rFont val="Tahoma"/>
            <family val="2"/>
          </rPr>
          <t>Rev4175(DOR):</t>
        </r>
        <r>
          <rPr>
            <sz val="9"/>
            <color indexed="81"/>
            <rFont val="Tahoma"/>
            <family val="2"/>
          </rPr>
          <t xml:space="preserve">
See 10K page 51
 of pdf</t>
        </r>
      </text>
    </comment>
    <comment ref="H26" authorId="2" shapeId="0" xr:uid="{82FDFEC0-2F35-4E95-A1F2-7A7CC05E77BE}">
      <text>
        <r>
          <rPr>
            <b/>
            <sz val="9"/>
            <color indexed="81"/>
            <rFont val="Tahoma"/>
            <family val="2"/>
          </rPr>
          <t>Rev4175(DOR):</t>
        </r>
        <r>
          <rPr>
            <sz val="9"/>
            <color indexed="81"/>
            <rFont val="Tahoma"/>
            <family val="2"/>
          </rPr>
          <t xml:space="preserve">
See 10K page 47 of pdf
</t>
        </r>
      </text>
    </comment>
    <comment ref="J26" authorId="3" shapeId="0" xr:uid="{C5479F24-7283-4C31-AD27-4D53C3BF15F4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47 of pdf</t>
        </r>
      </text>
    </comment>
    <comment ref="F31" authorId="0" shapeId="0" xr:uid="{CEF678F7-6580-4CF3-AC8E-A803AFF27478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G31" authorId="0" shapeId="0" xr:uid="{DCA2A619-CEA3-4008-A38D-031363BDDC2B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F35" authorId="2" shapeId="0" xr:uid="{5D3A7E9E-31FD-48DE-A814-52821D26E9B2}">
      <text>
        <r>
          <rPr>
            <b/>
            <sz val="9"/>
            <color indexed="81"/>
            <rFont val="Tahoma"/>
            <family val="2"/>
          </rPr>
          <t>REV4175(DOR):</t>
        </r>
        <r>
          <rPr>
            <sz val="9"/>
            <color indexed="81"/>
            <rFont val="Tahoma"/>
            <family val="2"/>
          </rPr>
          <t xml:space="preserve">
Page 7 OF PDF ANNUAL Financial statements</t>
        </r>
      </text>
    </comment>
    <comment ref="H35" authorId="4" shapeId="0" xr:uid="{32758C80-C783-4890-9BF5-A04AE5CA4564}">
      <text>
        <r>
          <rPr>
            <sz val="9"/>
            <color indexed="81"/>
            <rFont val="Tahoma"/>
            <family val="2"/>
          </rPr>
          <t>CN Financial statements pae 51 of pdf</t>
        </r>
      </text>
    </comment>
    <comment ref="F36" authorId="3" shapeId="0" xr:uid="{5CE8F03B-9088-4DBD-BDBE-CDCD9AC05ED6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91
 of pdf</t>
        </r>
      </text>
    </comment>
    <comment ref="H36" authorId="4" shapeId="0" xr:uid="{C67C4F7B-0191-4B81-B05E-7AAF2C5A5112}">
      <text>
        <r>
          <rPr>
            <sz val="9"/>
            <color indexed="81"/>
            <rFont val="Tahoma"/>
            <family val="2"/>
          </rPr>
          <t>Rev4175
10K page 97 of pdf</t>
        </r>
      </text>
    </comment>
    <comment ref="F37" authorId="2" shapeId="0" xr:uid="{1D90F27A-A7F2-471D-AF0F-0A07FE12A269}">
      <text>
        <r>
          <rPr>
            <b/>
            <sz val="9"/>
            <color indexed="81"/>
            <rFont val="Tahoma"/>
            <family val="2"/>
          </rPr>
          <t>Rev 4175(DOR):</t>
        </r>
        <r>
          <rPr>
            <sz val="9"/>
            <color indexed="81"/>
            <rFont val="Tahoma"/>
            <family val="2"/>
          </rPr>
          <t xml:space="preserve">
10K page 81 of pdf</t>
        </r>
      </text>
    </comment>
    <comment ref="H37" authorId="4" shapeId="0" xr:uid="{118A4245-1E4E-4489-9842-381063F6BE3C}">
      <text>
        <r>
          <rPr>
            <sz val="9"/>
            <color indexed="81"/>
            <rFont val="Tahoma"/>
            <family val="2"/>
          </rPr>
          <t>Page 106 of PDF, 10-K</t>
        </r>
      </text>
    </comment>
    <comment ref="F38" authorId="2" shapeId="0" xr:uid="{514262DD-9C63-49F2-975A-5F701A02C8C0}">
      <text>
        <r>
          <rPr>
            <b/>
            <sz val="9"/>
            <color indexed="81"/>
            <rFont val="Tahoma"/>
            <family val="2"/>
          </rPr>
          <t xml:space="preserve">Rev4175
10K Page 69 of pdf
</t>
        </r>
      </text>
    </comment>
    <comment ref="H38" authorId="4" shapeId="0" xr:uid="{24D5EDAA-506C-4DDE-B87B-860D8404FE6B}">
      <text>
        <r>
          <rPr>
            <sz val="9"/>
            <color indexed="81"/>
            <rFont val="Tahoma"/>
            <family val="2"/>
          </rPr>
          <t xml:space="preserve">See 10K page 63 of pdf
</t>
        </r>
      </text>
    </comment>
    <comment ref="F39" authorId="2" shapeId="0" xr:uid="{F024C223-BA72-4628-B239-44116A7A227B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See 10K page 36 of pdf
</t>
        </r>
      </text>
    </comment>
    <comment ref="H39" authorId="4" shapeId="0" xr:uid="{37C35D04-F59E-4873-B94D-D4BB678FFCAA}">
      <text>
        <r>
          <rPr>
            <sz val="9"/>
            <color indexed="81"/>
            <rFont val="Tahoma"/>
            <family val="2"/>
          </rPr>
          <t xml:space="preserve">10K page 69 of pdf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Baker, Mike A (DOR)</author>
    <author>rev4287</author>
    <author>rev4175</author>
  </authors>
  <commentList>
    <comment ref="E22" authorId="0" shapeId="0" xr:uid="{D4D99AE5-0AE4-4030-B471-6D6763B9159F}">
      <text>
        <r>
          <rPr>
            <b/>
            <sz val="9"/>
            <color indexed="81"/>
            <rFont val="Tahoma"/>
            <family val="2"/>
          </rPr>
          <t>Justus, Elizabeth (DOR):</t>
        </r>
        <r>
          <rPr>
            <sz val="9"/>
            <color indexed="81"/>
            <rFont val="Tahoma"/>
            <family val="2"/>
          </rPr>
          <t>Page 7 of pdf annual financial statements</t>
        </r>
      </text>
    </comment>
    <comment ref="E23" authorId="1" shapeId="0" xr:uid="{051C2315-D20B-4413-823A-A2B692E691E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Page 77 of pdf of annual report</t>
        </r>
      </text>
    </comment>
    <comment ref="E24" authorId="0" shapeId="0" xr:uid="{8B786D4E-E7C1-48DA-AD1A-34069397E0DF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10K page 55 of pdf
</t>
        </r>
      </text>
    </comment>
    <comment ref="E25" authorId="0" shapeId="0" xr:uid="{904EC269-90A7-4081-B168-9AA5BC6FEDDC}">
      <text>
        <r>
          <rPr>
            <b/>
            <sz val="9"/>
            <color indexed="81"/>
            <rFont val="Tahoma"/>
            <family val="2"/>
          </rPr>
          <t>Rev4175(DOR):</t>
        </r>
        <r>
          <rPr>
            <sz val="9"/>
            <color indexed="81"/>
            <rFont val="Tahoma"/>
            <family val="2"/>
          </rPr>
          <t xml:space="preserve">
See 10K page 51
 of pdf</t>
        </r>
      </text>
    </comment>
    <comment ref="E26" authorId="2" shapeId="0" xr:uid="{4039D7FB-896B-433E-8ECF-8B15B63A0535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47 of pdf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Baker, Mike A (DOR)</author>
  </authors>
  <commentList>
    <comment ref="D20" authorId="0" shapeId="0" xr:uid="{6D4EDF53-C434-4993-AD79-C8F570F3F05C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CN Financial Statements page 26 of pdf</t>
        </r>
      </text>
    </comment>
    <comment ref="E20" authorId="0" shapeId="0" xr:uid="{2A944705-9D99-40D7-A1CE-6F862F9CA9BA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CN Financial Statements page 24 of pdf</t>
        </r>
      </text>
    </comment>
    <comment ref="G20" authorId="0" shapeId="0" xr:uid="{6D1B35E8-55E0-4CA4-9DDB-5C5203800B78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CN Financial Statements page 6 of pdf</t>
        </r>
      </text>
    </comment>
    <comment ref="D21" authorId="0" shapeId="0" xr:uid="{8124B00B-41E4-4DF3-B694-E8F5C21535AA}">
      <text>
        <r>
          <rPr>
            <b/>
            <sz val="9"/>
            <color indexed="81"/>
            <rFont val="Tahoma"/>
            <family val="2"/>
          </rPr>
          <t xml:space="preserve">REV4175
</t>
        </r>
        <r>
          <rPr>
            <sz val="9"/>
            <color indexed="81"/>
            <rFont val="Tahoma"/>
            <family val="2"/>
          </rPr>
          <t xml:space="preserve">10K page 89 of pdf
</t>
        </r>
      </text>
    </comment>
    <comment ref="E21" authorId="0" shapeId="0" xr:uid="{AC573672-628A-4227-A36E-BE8E7DE72645}">
      <text>
        <r>
          <rPr>
            <b/>
            <sz val="9"/>
            <color indexed="81"/>
            <rFont val="Tahoma"/>
            <family val="2"/>
          </rPr>
          <t xml:space="preserve">REV4175
</t>
        </r>
        <r>
          <rPr>
            <sz val="9"/>
            <color indexed="81"/>
            <rFont val="Tahoma"/>
            <family val="2"/>
          </rPr>
          <t xml:space="preserve">10K page 92 of pdf
</t>
        </r>
      </text>
    </comment>
    <comment ref="G21" authorId="0" shapeId="0" xr:uid="{E174D504-A3C6-47AF-A85B-B58B7663A27D}">
      <text>
        <r>
          <rPr>
            <b/>
            <sz val="9"/>
            <color indexed="81"/>
            <rFont val="Tahoma"/>
            <family val="2"/>
          </rPr>
          <t>Rev 4175 (DOR):</t>
        </r>
        <r>
          <rPr>
            <sz val="9"/>
            <color indexed="81"/>
            <rFont val="Tahoma"/>
            <family val="2"/>
          </rPr>
          <t xml:space="preserve">
See 10K page 64 of pdf reported in Canadian Dollars.</t>
        </r>
      </text>
    </comment>
    <comment ref="D22" authorId="0" shapeId="0" xr:uid="{64252B38-C287-420F-BB69-01D3EFD13653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See 10K page 75 of pdf
</t>
        </r>
      </text>
    </comment>
    <comment ref="E22" authorId="0" shapeId="0" xr:uid="{CB7D5D68-D07C-42A5-839A-C856A1044AEE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See 10K page 76 of pdf
</t>
        </r>
      </text>
    </comment>
    <comment ref="G22" authorId="0" shapeId="0" xr:uid="{DD6A4E54-DB0F-42C4-A4EF-18C100227F26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See 10K page 53 of pdf</t>
        </r>
      </text>
    </comment>
    <comment ref="D23" authorId="0" shapeId="0" xr:uid="{AE6A0920-F7DF-4F4E-89B5-1EB21F92EC6E}">
      <text>
        <r>
          <rPr>
            <b/>
            <sz val="9"/>
            <color indexed="81"/>
            <rFont val="Tahoma"/>
            <family val="2"/>
          </rPr>
          <t>Rev 4175 (DOR):</t>
        </r>
        <r>
          <rPr>
            <sz val="9"/>
            <color indexed="81"/>
            <rFont val="Tahoma"/>
            <family val="2"/>
          </rPr>
          <t xml:space="preserve">
See 10K page 51 of pdf</t>
        </r>
      </text>
    </comment>
    <comment ref="E23" authorId="0" shapeId="0" xr:uid="{6137B6F7-C236-48CA-BB50-E080AE88ECCC}">
      <text>
        <r>
          <rPr>
            <b/>
            <sz val="9"/>
            <color indexed="81"/>
            <rFont val="Tahoma"/>
            <family val="2"/>
          </rPr>
          <t>Rev 4175 (DOR):</t>
        </r>
        <r>
          <rPr>
            <sz val="9"/>
            <color indexed="81"/>
            <rFont val="Tahoma"/>
            <family val="2"/>
          </rPr>
          <t xml:space="preserve">
See 10K page 61 of pdf</t>
        </r>
      </text>
    </comment>
    <comment ref="G23" authorId="0" shapeId="0" xr:uid="{586232E7-2617-42DD-BD71-400165FBC48A}">
      <text>
        <r>
          <rPr>
            <b/>
            <sz val="9"/>
            <color indexed="81"/>
            <rFont val="Tahoma"/>
            <family val="2"/>
          </rPr>
          <t>Baker, Mike A (DOR):</t>
        </r>
        <r>
          <rPr>
            <sz val="9"/>
            <color indexed="81"/>
            <rFont val="Tahoma"/>
            <family val="2"/>
          </rPr>
          <t xml:space="preserve">
See 10K page K52 page 52 of pdf
</t>
        </r>
      </text>
    </comment>
    <comment ref="D24" authorId="0" shapeId="0" xr:uid="{B632E231-4FEE-4792-A714-12CDA76C0DBC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See 10K page 67 of pdf
</t>
        </r>
      </text>
    </comment>
    <comment ref="E24" authorId="0" shapeId="0" xr:uid="{4361B4C4-1B4B-422B-9C46-4EFD6944A162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See 10K page 61 of pdf
</t>
        </r>
      </text>
    </comment>
    <comment ref="G24" authorId="0" shapeId="0" xr:uid="{47BE0292-C9A2-4290-8744-91A3C07C9CA2}">
      <text>
        <r>
          <rPr>
            <b/>
            <sz val="9"/>
            <color indexed="81"/>
            <rFont val="Tahoma"/>
            <family val="2"/>
          </rPr>
          <t>REV4175 (DOR):</t>
        </r>
        <r>
          <rPr>
            <sz val="9"/>
            <color indexed="81"/>
            <rFont val="Tahoma"/>
            <family val="2"/>
          </rPr>
          <t xml:space="preserve">
See 10K page 46 of pdf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<sst xmlns="http://schemas.openxmlformats.org/spreadsheetml/2006/main" count="1447" uniqueCount="493">
  <si>
    <t xml:space="preserve"> </t>
  </si>
  <si>
    <t>KENTUCKY DEPARTMENT OF REVENUE</t>
  </si>
  <si>
    <t>Company</t>
  </si>
  <si>
    <t>Ticker</t>
  </si>
  <si>
    <t>Symbol</t>
  </si>
  <si>
    <t xml:space="preserve">Industry </t>
  </si>
  <si>
    <t>Group</t>
  </si>
  <si>
    <t>VL</t>
  </si>
  <si>
    <t>10K / SEC</t>
  </si>
  <si>
    <t>DIVISION OF STATE VALUATION, PUBLIC SERVICE BRANCH</t>
  </si>
  <si>
    <t>Stock Price</t>
  </si>
  <si>
    <t>Preferred Stock</t>
  </si>
  <si>
    <t>Common Stock</t>
  </si>
  <si>
    <t>4th Qtr</t>
  </si>
  <si>
    <t>FMV</t>
  </si>
  <si>
    <t>Calculated</t>
  </si>
  <si>
    <t>Total Market Value</t>
  </si>
  <si>
    <t>% Common Stock</t>
  </si>
  <si>
    <t>Median</t>
  </si>
  <si>
    <t>Average</t>
  </si>
  <si>
    <t xml:space="preserve">Financial </t>
  </si>
  <si>
    <t xml:space="preserve">Actual </t>
  </si>
  <si>
    <t>Strength</t>
  </si>
  <si>
    <t>Tax Rate</t>
  </si>
  <si>
    <t>A</t>
  </si>
  <si>
    <t>B+</t>
  </si>
  <si>
    <t>Computed</t>
  </si>
  <si>
    <t>Price</t>
  </si>
  <si>
    <t>Multiple</t>
  </si>
  <si>
    <t>Inverse</t>
  </si>
  <si>
    <t>KENTUCKY</t>
  </si>
  <si>
    <t xml:space="preserve">Source of </t>
  </si>
  <si>
    <t>Capital</t>
  </si>
  <si>
    <t>Cost of Capital</t>
  </si>
  <si>
    <t>Weighted</t>
  </si>
  <si>
    <t>Structure</t>
  </si>
  <si>
    <t>Rate</t>
  </si>
  <si>
    <t>After Tax</t>
  </si>
  <si>
    <t>Cost</t>
  </si>
  <si>
    <t>EQUITY</t>
  </si>
  <si>
    <t>-</t>
  </si>
  <si>
    <t>DEBT</t>
  </si>
  <si>
    <t>TOTAL</t>
  </si>
  <si>
    <t>Industry &gt; Electric Companies</t>
  </si>
  <si>
    <t>A+</t>
  </si>
  <si>
    <t xml:space="preserve">  </t>
  </si>
  <si>
    <t>High</t>
  </si>
  <si>
    <t>Low</t>
  </si>
  <si>
    <t>Mergent Bond</t>
  </si>
  <si>
    <t>Rating</t>
  </si>
  <si>
    <t>Debt Rate</t>
  </si>
  <si>
    <t>S &amp; P</t>
  </si>
  <si>
    <t>% LT Debt &amp; Pref Stock</t>
  </si>
  <si>
    <t>Baa1</t>
  </si>
  <si>
    <t>Baa2</t>
  </si>
  <si>
    <t>The capital structure of this industry is a representative or typical capital structure of the group, not that of the present owner.  The capital structure selected reflects the most likely arrangement of a prospective buyer.</t>
  </si>
  <si>
    <t>A1</t>
  </si>
  <si>
    <t>Ba1</t>
  </si>
  <si>
    <t>A3</t>
  </si>
  <si>
    <t>Baa3</t>
  </si>
  <si>
    <t>A-</t>
  </si>
  <si>
    <t>Book Value</t>
  </si>
  <si>
    <t>Shares Issued less Treasury</t>
  </si>
  <si>
    <t>DIRECT CAPITALIZATION RATE CONCLUSION</t>
  </si>
  <si>
    <t>YIELD CAPITALIZATION RATE CONCLUSION</t>
  </si>
  <si>
    <t>GCF After Tax</t>
  </si>
  <si>
    <t>Capitalization Rate</t>
  </si>
  <si>
    <t>Capitalization</t>
  </si>
  <si>
    <t>Marginal</t>
  </si>
  <si>
    <t>CAP RATE</t>
  </si>
  <si>
    <t>NOI After Tax  (NOPAT)</t>
  </si>
  <si>
    <t>WACC</t>
  </si>
  <si>
    <t>Notes:</t>
  </si>
  <si>
    <t>Shares Outstanding *</t>
  </si>
  <si>
    <t>Selected</t>
  </si>
  <si>
    <t>CAPITAL STRUCTURE</t>
  </si>
  <si>
    <t>Maintenance Capital Expenditures</t>
  </si>
  <si>
    <t>Estimate using Guideline Companies</t>
  </si>
  <si>
    <t>Inflation</t>
  </si>
  <si>
    <t>Rate %</t>
  </si>
  <si>
    <t>CPI</t>
  </si>
  <si>
    <t>PP&amp;E Gross</t>
  </si>
  <si>
    <t>PP&amp;E</t>
  </si>
  <si>
    <t>Previous Year</t>
  </si>
  <si>
    <t>Current Year</t>
  </si>
  <si>
    <t>Depreciation</t>
  </si>
  <si>
    <t>Expense</t>
  </si>
  <si>
    <t xml:space="preserve">Average Life of </t>
  </si>
  <si>
    <t>Assets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</si>
  <si>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</si>
  <si>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</si>
  <si>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</si>
  <si>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</si>
  <si>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</si>
  <si>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</si>
  <si>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</si>
  <si>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</si>
  <si>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</si>
  <si>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</si>
  <si>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F/G</t>
  </si>
  <si>
    <t>C*H</t>
  </si>
  <si>
    <t>1/(1=C)^H</t>
  </si>
  <si>
    <t>Replacement</t>
  </si>
  <si>
    <t xml:space="preserve">Cost </t>
  </si>
  <si>
    <t>RC as % of</t>
  </si>
  <si>
    <t>K/G</t>
  </si>
  <si>
    <t>L</t>
  </si>
  <si>
    <t>(D+E)/2</t>
  </si>
  <si>
    <t>(G*I) / (1-J)</t>
  </si>
  <si>
    <t>*</t>
  </si>
  <si>
    <t>Gross Cash Flow</t>
  </si>
  <si>
    <t>NOPAT</t>
  </si>
  <si>
    <t>VL Projected NOI</t>
  </si>
  <si>
    <t xml:space="preserve">Year End </t>
  </si>
  <si>
    <t>VL Historic</t>
  </si>
  <si>
    <t>VL Projected</t>
  </si>
  <si>
    <t>Current</t>
  </si>
  <si>
    <t>Yield</t>
  </si>
  <si>
    <t>BETA SELECTION for CAPM</t>
  </si>
  <si>
    <t>SELECTED AVERAGE &gt;</t>
  </si>
  <si>
    <t>Source</t>
  </si>
  <si>
    <t>GDP</t>
  </si>
  <si>
    <t>Nominal</t>
  </si>
  <si>
    <t>Growth</t>
  </si>
  <si>
    <t>Book Ratio</t>
  </si>
  <si>
    <t>Numeric</t>
  </si>
  <si>
    <t>Caa3</t>
  </si>
  <si>
    <t>Caa2</t>
  </si>
  <si>
    <t>Caa1</t>
  </si>
  <si>
    <t>B3</t>
  </si>
  <si>
    <t>B2</t>
  </si>
  <si>
    <t>B1</t>
  </si>
  <si>
    <t>Ba3</t>
  </si>
  <si>
    <t>Ba2</t>
  </si>
  <si>
    <t>A2</t>
  </si>
  <si>
    <t>Aa3</t>
  </si>
  <si>
    <t>Aa2</t>
  </si>
  <si>
    <t>Aa1</t>
  </si>
  <si>
    <t>Bond Rating Scale</t>
  </si>
  <si>
    <t>Levered Beta</t>
  </si>
  <si>
    <t>https://www.philadelphiafed.org/research-and-data/real-time-center/livingston-survey</t>
  </si>
  <si>
    <t>https://www.philadelphiafed.org/surveys-and-data/real-time-data-research/survey-of-professional-forecasters</t>
  </si>
  <si>
    <t>Preferred Stock ***</t>
  </si>
  <si>
    <t>Long Term Debt **</t>
  </si>
  <si>
    <t>*** Market value of preferred stock assumed to equal book value</t>
  </si>
  <si>
    <t>* Outstanding stock shares are generally already net of Treasury stock shares</t>
  </si>
  <si>
    <t>MODEL</t>
  </si>
  <si>
    <t>EQUITY RATES for YIELD APPROACH</t>
  </si>
  <si>
    <t>CAPM - The CFO Survey</t>
  </si>
  <si>
    <t>CAPM - Fernandez, Banuls, &amp; Acin</t>
  </si>
  <si>
    <t>CAPM - Ex Post (BVR Historical, Arithmeic)</t>
  </si>
  <si>
    <t>CAPM - Ex Post (BVR Historical, Geometric)</t>
  </si>
  <si>
    <t>Empirical CAPM - The CFO Survey</t>
  </si>
  <si>
    <t>Empirical CAPM - Fernandez, Banuls, &amp; Acin</t>
  </si>
  <si>
    <t>Empirical CAPM - Ex Post (BVR Historical, Arithmeic)</t>
  </si>
  <si>
    <t>Empirical CAPM - Ex Post (BVR Historical, Geometric)</t>
  </si>
  <si>
    <t>Stock</t>
  </si>
  <si>
    <t>Dividends</t>
  </si>
  <si>
    <t>Per Share</t>
  </si>
  <si>
    <t>Dividend</t>
  </si>
  <si>
    <t>Historic</t>
  </si>
  <si>
    <t>Dividend Data</t>
  </si>
  <si>
    <t>Earnings</t>
  </si>
  <si>
    <t>Equity</t>
  </si>
  <si>
    <t>Equity Rate</t>
  </si>
  <si>
    <t>(F+G)</t>
  </si>
  <si>
    <t>(F+H)</t>
  </si>
  <si>
    <t>Dividend Yield</t>
  </si>
  <si>
    <t xml:space="preserve">Projected Short Term </t>
  </si>
  <si>
    <t>DGM - Earnings Growth Rate &gt;</t>
  </si>
  <si>
    <t>DGM - Dividend Growth Rate &gt;</t>
  </si>
  <si>
    <t>Yield Equity Rate - DGM (Two-Stage)</t>
  </si>
  <si>
    <t>Stable</t>
  </si>
  <si>
    <t>Growth Rate</t>
  </si>
  <si>
    <t>Earnings Per Share</t>
  </si>
  <si>
    <t>Cost of</t>
  </si>
  <si>
    <t>g</t>
  </si>
  <si>
    <t>DY</t>
  </si>
  <si>
    <t>G1</t>
  </si>
  <si>
    <t>(G1 + g)/2</t>
  </si>
  <si>
    <t>KE = (DY X (1 + .5(G))) + .67 (G1) + .33(g)</t>
  </si>
  <si>
    <t>Kentucky</t>
  </si>
  <si>
    <t>Common Equity</t>
  </si>
  <si>
    <t xml:space="preserve">Obligations rated Ca are highly speculative and are likely in, or very near, default, with some prospect of recovery in principal and interest. </t>
  </si>
  <si>
    <t xml:space="preserve">Obligations rated C are the lowest-rated class of bonds and are typical­ly in default, with little prospect for recovery of principal and interest. </t>
  </si>
  <si>
    <t xml:space="preserve">Obligations rated Caa are judged to be of poor standing and are subject to very high credit risk . </t>
  </si>
  <si>
    <t>Obligations rated Aaa are judged to be of the highest quality, with minimal risk.</t>
  </si>
  <si>
    <t xml:space="preserve">Obligations rated A are considered upper-medium-grade and are sub­ject to low credit risk. </t>
  </si>
  <si>
    <t xml:space="preserve">Obligations rated B are considered speculative and are subject to high credit risk. </t>
  </si>
  <si>
    <t xml:space="preserve">Obligations rated Ba are judged to have speculative elements and are subject to substantial credit risk. </t>
  </si>
  <si>
    <t xml:space="preserve">Obligations rated Baa are subject to moderate credit risk. They are considered medium-grade and as such may possess speculative characteristics. </t>
  </si>
  <si>
    <t>D1 = Expected Dividends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</si>
  <si>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</t>
    </r>
    <r>
      <rPr>
        <b/>
        <sz val="10"/>
        <color theme="1"/>
        <rFont val="Microsoft GothicNeo"/>
        <family val="2"/>
        <charset val="129"/>
      </rPr>
      <t>1</t>
    </r>
    <r>
      <rPr>
        <b/>
        <sz val="16"/>
        <color theme="1"/>
        <rFont val="Microsoft GothicNeo"/>
        <family val="2"/>
        <charset val="129"/>
      </rPr>
      <t xml:space="preserve"> / P</t>
    </r>
    <r>
      <rPr>
        <b/>
        <sz val="10"/>
        <color theme="1"/>
        <rFont val="Microsoft GothicNeo"/>
        <family val="2"/>
        <charset val="129"/>
      </rPr>
      <t>o</t>
    </r>
    <r>
      <rPr>
        <b/>
        <sz val="16"/>
        <color theme="1"/>
        <rFont val="Microsoft GothicNeo"/>
        <family val="2"/>
        <charset val="129"/>
      </rPr>
      <t>) + G</t>
    </r>
  </si>
  <si>
    <t>KE = Cost of Equity</t>
  </si>
  <si>
    <t>Po   = Current Price</t>
  </si>
  <si>
    <r>
      <t>Price (P</t>
    </r>
    <r>
      <rPr>
        <b/>
        <sz val="9"/>
        <color theme="1"/>
        <rFont val="Microsoft GothicNeo"/>
        <family val="2"/>
        <charset val="129"/>
      </rPr>
      <t>0</t>
    </r>
    <r>
      <rPr>
        <b/>
        <sz val="11"/>
        <color theme="1"/>
        <rFont val="Microsoft GothicNeo"/>
        <family val="2"/>
        <charset val="129"/>
      </rPr>
      <t>)</t>
    </r>
  </si>
  <si>
    <t xml:space="preserve">Dividend Growth Rate </t>
  </si>
  <si>
    <t xml:space="preserve">Earnings Per Share Growth Rate </t>
  </si>
  <si>
    <r>
      <t>Long Term Debt</t>
    </r>
    <r>
      <rPr>
        <b/>
        <sz val="10"/>
        <color theme="1"/>
        <rFont val="Microsoft GothicNeo"/>
        <family val="2"/>
        <charset val="129"/>
      </rPr>
      <t xml:space="preserve"> </t>
    </r>
  </si>
  <si>
    <t>CAPITAL ASSET PRICING MODEL (CAPM)</t>
  </si>
  <si>
    <t>Selected &gt;</t>
  </si>
  <si>
    <t>Inflation and Gross Domestic Product (GDP) Data</t>
  </si>
  <si>
    <t>SELECTED &gt;</t>
  </si>
  <si>
    <t>Equity Risk Premium (ERP)</t>
  </si>
  <si>
    <t>Indicated Equity Rate</t>
  </si>
  <si>
    <t>Industry Risk Premium</t>
  </si>
  <si>
    <t>Weighted Industry Risk Premium (75%)</t>
  </si>
  <si>
    <t>Weighted Equity Risk Premium (25%)</t>
  </si>
  <si>
    <t xml:space="preserve">The CFO Survey  (4) </t>
  </si>
  <si>
    <t>BVR - Historical, Arithmetic Mean  (6)</t>
  </si>
  <si>
    <t>BVR - Historical, Geometric Mean  (7)</t>
  </si>
  <si>
    <t>Empirical CAPM Models</t>
  </si>
  <si>
    <t>CAPM Models</t>
  </si>
  <si>
    <t>KE = Rf + (B  X  ERP X  75%) = (ERP  X  25%)</t>
  </si>
  <si>
    <t>KE = Rf + (B  X  ERP)</t>
  </si>
  <si>
    <t>Industry Beta (B)</t>
  </si>
  <si>
    <t>Value Line Earnings</t>
  </si>
  <si>
    <t>Value Line Dividends</t>
  </si>
  <si>
    <t>Yahoo Finance</t>
  </si>
  <si>
    <t>Return on</t>
  </si>
  <si>
    <t>Gross Revenue</t>
  </si>
  <si>
    <t>Multiplier</t>
  </si>
  <si>
    <t>NOPAT CASH FLOW MULTIPLE &amp; EQUITY RATE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</si>
  <si>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</si>
  <si>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Two-Stage DGM Rate &gt;</t>
  </si>
  <si>
    <t>DGM - Single Stage - Earnings Growth</t>
  </si>
  <si>
    <t>DGM - Single Stage - Dividend Growth</t>
  </si>
  <si>
    <t>DGM - Two Stage - Dividend Growth</t>
  </si>
  <si>
    <t>VL LT Projected NOI</t>
  </si>
  <si>
    <t>Indicated Rate of Debt &gt;</t>
  </si>
  <si>
    <t>Year End</t>
  </si>
  <si>
    <t>10K Income Statement</t>
  </si>
  <si>
    <t>10K Balance Sheet</t>
  </si>
  <si>
    <t>Indicated Rate of Equity Selected &gt;</t>
  </si>
  <si>
    <t>SHORT-TERM GROWTH RATES (5 years)</t>
  </si>
  <si>
    <t>GROWTH &amp; INFLATION RATES</t>
  </si>
  <si>
    <t>Real LT Growth</t>
  </si>
  <si>
    <t>Federal Reserve Statistical Release  10 Yr Inflation protected Treasury securities (1)</t>
  </si>
  <si>
    <t xml:space="preserve">Federal Reserve Statistical Release  20 Yr Inflation protected Treasury securities (1) </t>
  </si>
  <si>
    <t xml:space="preserve">Federal Reserve Statistical Release  30 Yr Inflation protected Treasury securities (1) </t>
  </si>
  <si>
    <t>Federal Reserve Bank of Philadelphia / Livingston Survey Mean  (2)</t>
  </si>
  <si>
    <t>“Since no firm can grow forever at a rate higher than the growth rate of the economy in which it operates, the constant growth rate cannot be greater</t>
  </si>
  <si>
    <t>http://pages.stern.nyu.edu/~adamodar/New_Home_Page/valquestions/stablegrowthrate.htm</t>
  </si>
  <si>
    <t>*Cornell, B. &amp; Gerger, R. (2017) Estimating Terminal Values with Inflation : The Inputs Matter - It is Not a Formulaic Exercise.  Business Valuation Review, Vol.36, Number 4, 117-123.</t>
  </si>
  <si>
    <t>C1  C2  C3</t>
  </si>
  <si>
    <t>1 Yr Projected</t>
  </si>
  <si>
    <t>3-5 Yr Projected</t>
  </si>
  <si>
    <t>Short Term</t>
  </si>
  <si>
    <t>(1)</t>
  </si>
  <si>
    <t>(1)    4 Year compound annual growth rate (CAGR)  - 3 periods</t>
  </si>
  <si>
    <t>Earnings Data</t>
  </si>
  <si>
    <r>
      <t xml:space="preserve">KY DOR                    Earnings Growth Rate                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</si>
  <si>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r>
      <t xml:space="preserve">KY DOR                Dividends Growth Rate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</si>
  <si>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t>YIELD EQUITY RATE</t>
  </si>
  <si>
    <t>g = b X ROE</t>
  </si>
  <si>
    <t>g = LT growth rate</t>
  </si>
  <si>
    <t>b = reinvestment rate</t>
  </si>
  <si>
    <t>ROE = Return on equity (or return on investment)</t>
  </si>
  <si>
    <t>b = g  / ROE</t>
  </si>
  <si>
    <t>The plowback ratio is multiplied by Net Cash Flow to estimate the amount of additional capital expenditures needed to achieve projected results.</t>
  </si>
  <si>
    <t>Reinvestment Rate =</t>
  </si>
  <si>
    <t>EBIT (1-Tax Rate)</t>
  </si>
  <si>
    <t>Capital Expenditures - Depreciation + Change in Working Capital</t>
  </si>
  <si>
    <t>Aswath Damodaran's model to determine the Reinvesment Rate &gt;</t>
  </si>
  <si>
    <t>It is assumed that the ROE is a fixed (unchanging) rate.</t>
  </si>
  <si>
    <t>Maintenance Capital Expenditures and Change in Working Capital</t>
  </si>
  <si>
    <t>Operating Leases ****</t>
  </si>
  <si>
    <t>Market Value</t>
  </si>
  <si>
    <t>10K</t>
  </si>
  <si>
    <t>Market to</t>
  </si>
  <si>
    <t>Long Term Debt</t>
  </si>
  <si>
    <t xml:space="preserve">Capital </t>
  </si>
  <si>
    <t>Market</t>
  </si>
  <si>
    <t>to Book</t>
  </si>
  <si>
    <t>Composite</t>
  </si>
  <si>
    <t>Total</t>
  </si>
  <si>
    <t>AVERAGE</t>
  </si>
  <si>
    <t>Market to Book Ratios - Obsolescence Measurement</t>
  </si>
  <si>
    <t>Common Total Equity</t>
  </si>
  <si>
    <t>FMV / PV</t>
  </si>
  <si>
    <t>GCF CASH FLOW MULTIPLE &amp; EQUITY RATE</t>
  </si>
  <si>
    <r>
      <t xml:space="preserve">GCF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</si>
  <si>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CFRA                                    S&amp;P Net Advantage</t>
  </si>
  <si>
    <t>Zacks Investment Research</t>
  </si>
  <si>
    <t>Companies excluded from the study &gt;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</si>
  <si>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(DY  X  (1+ .5(G)))  + .67(G1)  +  .33(g)</t>
    </r>
  </si>
  <si>
    <t>G   = Average growth rate</t>
  </si>
  <si>
    <t>G1 = Short term growth estimate</t>
  </si>
  <si>
    <t>DY = Dividend Yield     See ValueLine</t>
  </si>
  <si>
    <t>g   = Stable Growth - Nominal growth rate</t>
  </si>
  <si>
    <t>AA+</t>
  </si>
  <si>
    <t>AAA</t>
  </si>
  <si>
    <t>AA</t>
  </si>
  <si>
    <t>Obligations rated Aa are judged to be of high quality, with minimal risk.</t>
  </si>
  <si>
    <t>AA-</t>
  </si>
  <si>
    <t>BBB+</t>
  </si>
  <si>
    <t>BBB</t>
  </si>
  <si>
    <t>BBB-</t>
  </si>
  <si>
    <t>BB+</t>
  </si>
  <si>
    <t>BB</t>
  </si>
  <si>
    <t>BB-</t>
  </si>
  <si>
    <t>B-</t>
  </si>
  <si>
    <t>CCC+</t>
  </si>
  <si>
    <t>CCC</t>
  </si>
  <si>
    <t>CCC-</t>
  </si>
  <si>
    <t>CC</t>
  </si>
  <si>
    <t>Scale</t>
  </si>
  <si>
    <t>Retained to</t>
  </si>
  <si>
    <t>Shareholders Equity</t>
  </si>
  <si>
    <t>Retained to Common Equity -- Net profit less all common and preferred dividends divided by common equity including intangible assets, expressed as a percentage.  Also known as the plowback ratio.</t>
  </si>
  <si>
    <t>Return on Shareholders Equity -- Annual net profit divided by year-end shareholders equity, expressed as a percentage.</t>
  </si>
  <si>
    <t>Ca1</t>
  </si>
  <si>
    <t>Ca2</t>
  </si>
  <si>
    <t>Ca3</t>
  </si>
  <si>
    <t>CC+</t>
  </si>
  <si>
    <t>CC-</t>
  </si>
  <si>
    <t>AAA-</t>
  </si>
  <si>
    <t>AAA+</t>
  </si>
  <si>
    <t>Aaa1</t>
  </si>
  <si>
    <t>Aaa2</t>
  </si>
  <si>
    <t>Aaa3</t>
  </si>
  <si>
    <t>Share</t>
  </si>
  <si>
    <t>Gross Revenues</t>
  </si>
  <si>
    <t>NOPAT Earnings</t>
  </si>
  <si>
    <t>The purpose of this ratio is to test whether the market price is worth more (or less) than the cost of the assets.</t>
  </si>
  <si>
    <t>If the result is greater than one(1), it indicates the market value exceeds book value and can often be used as a sign of competent management.</t>
  </si>
  <si>
    <t>The higher the return on revenue the higher the price to revenue will be.</t>
  </si>
  <si>
    <t>Cash flow is typically defined to be net income plus depreciation and amortization.</t>
  </si>
  <si>
    <t xml:space="preserve">This measure is considered relevant for companies with high non-cash charges reflected in the income statement.  Non-cash charges include depreciation &amp; amortization, goodwill impairments, asset write downs, </t>
  </si>
  <si>
    <t>stock based compensation, and deferred income taxes and investment tax credits.</t>
  </si>
  <si>
    <t>P/E Ratio - Long Term Projection NOPAT</t>
  </si>
  <si>
    <t>&amp; Op Leases</t>
  </si>
  <si>
    <t>Earnings Growth = DY + EG</t>
  </si>
  <si>
    <t>Dividend Growth = DY + DG</t>
  </si>
  <si>
    <t>EG = Earnings Growth</t>
  </si>
  <si>
    <t>DG = Dividend Growth</t>
  </si>
  <si>
    <t>DY = Dividend Yield</t>
  </si>
  <si>
    <t>G = Projected Growth (Earnings Per Share 5 Yr Growth Rate)</t>
  </si>
  <si>
    <t>G = Projected Growth (Div. 5 Yr Growth Rate)</t>
  </si>
  <si>
    <t>General Partner Units</t>
  </si>
  <si>
    <t>Gross Book Value Equity</t>
  </si>
  <si>
    <t>GROSS REVENUE &amp; GROSS BOOK (EQUITY) MULTIPLES</t>
  </si>
  <si>
    <t>Multiple *</t>
  </si>
  <si>
    <t>* This multiple is applicable to service type companies, or those with few assets.  These companies sell at prices related to their revenues.</t>
  </si>
  <si>
    <t>** The book value, or common equity, per share is total owners' equity minus preferred stock divided by the number of common shares outstanding.</t>
  </si>
  <si>
    <t>Projected</t>
  </si>
  <si>
    <t xml:space="preserve">Property, Plant &amp; Equipment includes CWIP, but should exclude intangibles and the associated amortization.  </t>
  </si>
  <si>
    <t>Common Total Equity excludes 'noncontrolling interests' equity value.</t>
  </si>
  <si>
    <t xml:space="preserve">http://www.federalreserve.gov/Releases/H15/Current/ </t>
  </si>
  <si>
    <t>Railroad Carriers</t>
  </si>
  <si>
    <t>Canadian National</t>
  </si>
  <si>
    <t>CNI</t>
  </si>
  <si>
    <t>Railroad</t>
  </si>
  <si>
    <t>CP</t>
  </si>
  <si>
    <t>CSX Corp</t>
  </si>
  <si>
    <t>CSX</t>
  </si>
  <si>
    <t>Norfolk Southern</t>
  </si>
  <si>
    <t>NSC</t>
  </si>
  <si>
    <t>Union Pacific Railroad</t>
  </si>
  <si>
    <t>UNP</t>
  </si>
  <si>
    <t>CP completed acquisition of KCS on 12/14/21</t>
  </si>
  <si>
    <t>American Railcar Industries Inc -  Designer and manufacturer of railcars.  Not a railroad.</t>
  </si>
  <si>
    <t>GATX Corporation -  Railcar lessor.  Not a railroad.</t>
  </si>
  <si>
    <t>Genesee &amp; Wyoming- Removed, was sold to infastructure asset management firm Brookfield Infastructure in '19. No longer listed on stock indexes as separate entity.</t>
  </si>
  <si>
    <t>GreenBrier Companies Inc.  -  Designer, manufacturer, plus repairs of railcars.  Not a railroad.</t>
  </si>
  <si>
    <t>Trinity Industries Inc. -  Manufacturer of railcars and component parts.  Not a railroad.</t>
  </si>
  <si>
    <t>Kansas City Southern merged with CP in December 2021</t>
  </si>
  <si>
    <t>Companies added to the study &gt;</t>
  </si>
  <si>
    <t>Per Share **</t>
  </si>
  <si>
    <t xml:space="preserve">Risk Free Rate (Rf) </t>
  </si>
  <si>
    <t>Yield Equity Rate - DGM (Dividend Growth) &amp; DGM (Earnings Growth)  -- Gordon Growth</t>
  </si>
  <si>
    <t>CAPM - Ex Ante, Three Stage - V1</t>
  </si>
  <si>
    <t>CAPM - Ex Ante, Three Stage - V2</t>
  </si>
  <si>
    <t>Empirical CAPM - Ex Ante, Three Stage - V1</t>
  </si>
  <si>
    <t>Empirical CAPM - Ex Ante, Three Stage - V2</t>
  </si>
  <si>
    <t>Mean</t>
  </si>
  <si>
    <t xml:space="preserve">S&amp;P Rating </t>
  </si>
  <si>
    <t>https://www.bvresources.com/products/faqs/cost-of-capital-professional</t>
  </si>
  <si>
    <t>https://www.richmondfed.org/research/national_economy/cfo_survey</t>
  </si>
  <si>
    <t>http://pages.stern.nyu.edu/~adamodar/New_Home_Page/datacurrent.html</t>
  </si>
  <si>
    <t>A market to book ratio over one would be an indication of no obsolescence.</t>
  </si>
  <si>
    <t>.</t>
  </si>
  <si>
    <t>Damodaran Implied ERP Ex Ante   Trailing 12 mo Cash Yield (3)</t>
  </si>
  <si>
    <t>Damodaran Implied ERP Ex Ante   Net Cash Yield (3)</t>
  </si>
  <si>
    <t>Damodaran Implied ERP Ex Ante   Norm. Earnings &amp; Payout (3)</t>
  </si>
  <si>
    <t>KROLL Ex Post  - ERP Historical (8)</t>
  </si>
  <si>
    <t>KROLL Ex Post - ERP Supply Side (8)</t>
  </si>
  <si>
    <t>KROLL Ex Ante - ERP Conditional (8)</t>
  </si>
  <si>
    <t>CAPM - Ex Ante  Damodaran 12 Mo Cash Yield</t>
  </si>
  <si>
    <t>CAPM - Ex Ante  Damodaran Net Cash Yield</t>
  </si>
  <si>
    <t>CAPM - Ex Ante  Damodaran NEP</t>
  </si>
  <si>
    <t>CAPM - Ex Post KROLL ERP Historical</t>
  </si>
  <si>
    <t>CAPM - Ex Post  KROLL ERP Supply Side</t>
  </si>
  <si>
    <t>CAPM - Ex Ante  KROLL ERP Conditional</t>
  </si>
  <si>
    <t>Empirical CAPM - Ex Ante  Damodaran 12 Mo Cash Yield</t>
  </si>
  <si>
    <t>Empirical CAPM - Ex Ante  Damodaran Net Cash Yield</t>
  </si>
  <si>
    <t>Empirical CAPM - Ex Ante  Damodaran NEP</t>
  </si>
  <si>
    <t>Empirical CAPM - Ex Post KROLL ERP Historical</t>
  </si>
  <si>
    <t>Empirical CAPM - Ex Post  KROLL ERP Supply Side</t>
  </si>
  <si>
    <t>Empirical CAPM - Ex Ante  KROLL ERP Conditional</t>
  </si>
  <si>
    <t>P. Fernandez, T. Garcia de Santos &amp; J.F.Acin  (5)</t>
  </si>
  <si>
    <t>Damodaran Implied ERP Ex Ante   Avg CF Yield Last 10 Yrs (3)</t>
  </si>
  <si>
    <t>CAPM - Ex Ante  Damodaran Avg CF Yield Last 10 Yrs</t>
  </si>
  <si>
    <t>Empirical CAPM - Ex Ante  Damodaran Avg CF Yield Last 10 Yrs</t>
  </si>
  <si>
    <t>Canadian Conversion Rate = .73 US Dollars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</si>
  <si>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(LT 27-29 Yr Projected VL)</t>
    </r>
  </si>
  <si>
    <t xml:space="preserve">** Debt includes  LT Debt , Current portion of LT Debt  from 10K </t>
  </si>
  <si>
    <t xml:space="preserve">**** Market value of operating leases for all companies.  </t>
  </si>
  <si>
    <t>CS+PS+OL+VL+LTD</t>
  </si>
  <si>
    <t>plus Finance Leases</t>
  </si>
  <si>
    <t>Canadian Pacific Kansas City Limited  CPKC</t>
  </si>
  <si>
    <t>***** Market value of variable operating leases for all companies. Variable leases are not generally included in the ROU liability figure shown on the balance sheet.</t>
  </si>
  <si>
    <t>Corporate                          December Avg</t>
  </si>
  <si>
    <t>Utility                                                December Avg</t>
  </si>
  <si>
    <t>Dec. 31, 2023</t>
  </si>
  <si>
    <t>Variable Op Leases *****</t>
  </si>
  <si>
    <t>INFLATION (CPI) &amp; GROSS DOMESTIC PRODUCT (GDP)</t>
  </si>
  <si>
    <t>Federal Reserve Bank of Philadelphia / Livingston Survey  Median (2a)</t>
  </si>
  <si>
    <t>Federal Reserve Bank of Philadelphia  /Survey of Professional Forecasters  Mean (2b)</t>
  </si>
  <si>
    <t xml:space="preserve">Congressional Budget Office Real Economic Projections (3)  </t>
  </si>
  <si>
    <t xml:space="preserve">Congressional Budget Office Real Economic Projections (3a)  </t>
  </si>
  <si>
    <t xml:space="preserve">Congressional Budget Office Real Economic Projections (3b)  </t>
  </si>
  <si>
    <t>The Trading Economics (4)</t>
  </si>
  <si>
    <t>The World Bank (5)</t>
  </si>
  <si>
    <t xml:space="preserve">Federal Reserve Bank "Long Term" Projection - Members &amp; Presidents opinion (6) </t>
  </si>
  <si>
    <t>The Federal Reserve Bank projects their "long-term" estimate of Change in US real GDP at 1.8%</t>
  </si>
  <si>
    <t xml:space="preserve">than the overall growth rate of the economy.”  Dr. Aswath Damodaran (n.d.) The Stable Growth Rate </t>
  </si>
  <si>
    <t>SOURCES:</t>
  </si>
  <si>
    <t>(1)  Federal Reserve Statistical Release</t>
  </si>
  <si>
    <t>(2) (2a)  Federal Reserve Bank of Philadelphia - The Livingston Survey</t>
  </si>
  <si>
    <t>(2b)  Federal Reserve Bank of Philadelphia - Survey of Professional Forecasters</t>
  </si>
  <si>
    <t>(3) (3a) (3b)  The Congressional Budget Office</t>
  </si>
  <si>
    <t>Budget and Economic Data | Congressional Budget Office</t>
  </si>
  <si>
    <t>https://www.cbo.gov/publication/60870</t>
  </si>
  <si>
    <t>(4) The Trading Economics</t>
  </si>
  <si>
    <t>https://tradingeconomics.com/united-states/full-year-gdp-growth</t>
  </si>
  <si>
    <t xml:space="preserve">(5) The World Bank </t>
  </si>
  <si>
    <t>World Bank Group Flagship Report, GlobalEconomic Prospects,  Page 4  Table 1.1 Real GDP</t>
  </si>
  <si>
    <t>http://www.worldbank.org/en/publication/global-economic-prospects</t>
  </si>
  <si>
    <t>(6) Board of Governors of the Federal Reserve System - Federal Reserve Bank Members &amp; Presidents Opinion</t>
  </si>
  <si>
    <t>na</t>
  </si>
  <si>
    <t>RISK FREE RATE (Rf)</t>
  </si>
  <si>
    <t xml:space="preserve">10-year U.S. Treasury coupon bonds </t>
  </si>
  <si>
    <t>30-year U.S. Treasury coupon bonds</t>
  </si>
  <si>
    <t>20-year U.S. Treasury coupon bonds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</si>
  <si>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20-year U.S. Treasury coupon bonds</t>
    </r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</si>
  <si>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30-year U.S. Treasury coupon bonds</t>
    </r>
  </si>
  <si>
    <t>Three Stage Ex Ante  Version 1  (1)</t>
  </si>
  <si>
    <t>Three Stage Ex Ante  Version 2   (2)</t>
  </si>
  <si>
    <t xml:space="preserve">(1) Three Stage Dividend Growth Model, S&amp;P 500.  The Three Stage Ex Ante calculations were performed by Montana.  The Equity risk premiums are shown above.  </t>
  </si>
  <si>
    <t xml:space="preserve">(2) Three Stage Dividend Growth Model, S&amp;P 500.  The Three Stage Ex Ante calculations were performed by Minnesota.  The Equity risk premiums are shown above.  </t>
  </si>
  <si>
    <t>http://pages.stern.nyu.edu/~adamodar/</t>
  </si>
  <si>
    <t>KDOR Selected Risk Free Rate (Rf) &gt;</t>
  </si>
  <si>
    <t>Moody's Rating</t>
  </si>
  <si>
    <t>Moody's Bond</t>
  </si>
  <si>
    <t>DEBT RATE for Direct and Yield Approach</t>
  </si>
  <si>
    <t>2026 CAPITALIZATION RATE STUDY</t>
  </si>
  <si>
    <t>2026 Tax Year</t>
  </si>
  <si>
    <t>Vl Projected 2026</t>
  </si>
  <si>
    <t xml:space="preserve">(6) &amp; (7) Business Valuation Resources, Cost of Capital Professional. (2026). Historical ERP 1928 to present, using arithmetic mean, geometric mean, and 20-Year Treasury Securities. </t>
  </si>
  <si>
    <t>(8) KROLL, Cost of Capital Navigator. (2026).  See Montana Cap Rate Study.</t>
  </si>
  <si>
    <t>Federal Reserve Statistical Release (January 2, 2026)  Treasury Constant Maturities, Nominal (1) :</t>
  </si>
  <si>
    <t>Value Line Investment Survey (January 10, 2026)  Selected Yields on Taxable U.S. Treasury Securities :</t>
  </si>
  <si>
    <t>Damodaran selected Risk-Free rate (January 1, 2026) (7) :</t>
  </si>
  <si>
    <t>KROLL Cost of Capital Navigator Risk-Free rate Ex Post  (January 1, 2026) :</t>
  </si>
  <si>
    <t>First Qtr. 2026,  Feb. 14, 2026, Table 8 &amp; Table 9, Average (Mean) over next 10 yrs</t>
  </si>
  <si>
    <t>Real Economic Projections, Table C-1 Table C-2 pages 27 &amp; 28 Annual Avg. Economic Projections for Calendar years 2026to 2035</t>
  </si>
  <si>
    <t>The Budget and Economic Outlook: 2026 to 2035</t>
  </si>
  <si>
    <t xml:space="preserve">https://www.cbo.gov/system/files/2026-01/60870-Outlook-2026.pdf </t>
  </si>
  <si>
    <t>Trading Economics, United States,  Full Year GDP Growth Rate Forecast for 2026</t>
  </si>
  <si>
    <t>YEAR END 12/31/2025</t>
  </si>
  <si>
    <t>Dec. 31, 2025</t>
  </si>
  <si>
    <t>Canadian Conversion 12/31/2025 = 0.6948</t>
  </si>
  <si>
    <t xml:space="preserve">Dec. 20, 2025, Table 3, pg. 8 Mean Inflation Rate &amp; Real GDP for next 10 yrs. </t>
  </si>
  <si>
    <t>Dec. 20, 2025, Table 3, pg. 8 Median Annual CPI Rate &amp; Real GDP Growth Rate over next 10 yrs.</t>
  </si>
  <si>
    <t>January 2025-2026</t>
  </si>
  <si>
    <t>https://www.federalreserve.gov/monetarypolicy/files/fomcprojtabl20251218.pd</t>
  </si>
  <si>
    <t>US Dollar to Canadian Dollar Exchange Rate = 1.3725</t>
  </si>
  <si>
    <t>Estimated 23-25 to 29-31</t>
  </si>
  <si>
    <t>YEAR END 12/31/2026</t>
  </si>
  <si>
    <t>The Congressional Budget Office projects the U.S. Real GDP annual growth rate of 2.2% in 2026 and 1.8% in 2027       Core CPI = 2.30%</t>
  </si>
  <si>
    <t>The Congressional Budget Office projects the U.S. Inflation CPI 4th Qtr. To 4th Qtr. 2.7% in 2026  2.3% in 2027, 2.0% in 2028 and 2029 to 2030.  2.0% 2031 to 2036</t>
  </si>
  <si>
    <t>The Congressional Budget Office projects the U.S. Real GDP annual growth rates of 1.8% from 2029 to 2030 and 1.8% from 2031 to 2036</t>
  </si>
  <si>
    <t>The Congressional Budget Office projects the U.S. Real GDP average annual (Yr to Yr) growth rates of 2.21% from 2026 to 2030 and 1.80% from 2030 to 2035 and 1.90 GDP overall from 2026 to 2036</t>
  </si>
  <si>
    <t>January 2, 2026  Compare inflation indexed securities to non-inflation indexed securities.  The difference is the inflation rate.  See Minnesota study page 36pdf or Washington study page 6.</t>
  </si>
  <si>
    <t>(3) Implied Equity Risk Premium on January 2, 2026 as determined by Dr. Aswath Damodaran</t>
  </si>
  <si>
    <t xml:space="preserve">(4) The CFO Survey (2025). Data &amp; Results December 17, 2025. Mean average annual S&amp;P return over next ten years (9.9%) less annual yield on 10-year Treasury Bonds (4.29%). </t>
  </si>
  <si>
    <t>(5) Fernandez, P., Garcia D., &amp; Acin, J. F. (2025). Survey: Market Risk Premium and Risk-Free Rate used for 54 countries in 2025. SSRN Electronic Journal.</t>
  </si>
  <si>
    <t>Medium projection value from Dec. 10, 2025 report Table 1</t>
  </si>
  <si>
    <t>Norfolk Southern and Union Pacific are undergoing an $85 billion merger to create the first coast-to-coast freight rail operator in the U.S. While shareholders approved the deal, the Surface Transportation Board paused its review in May 2026 to demand supplemental data, with a decision now anticipated in mid-2027</t>
  </si>
  <si>
    <t xml:space="preserve">(5) Fernandez, P., Garcia D., &amp; Acin, J. </t>
  </si>
  <si>
    <t>(7) Aswath Damodaran</t>
  </si>
  <si>
    <t>January 2, 2026  Compare inflation indexed securities to non-inflation 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</si>
</sst>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_);_(* \(#,##0.0000\);_(* &quot;-&quot;??_);_(@_)"/>
    <numFmt numFmtId="167" formatCode="_(* #,##0.000_);_(* \(#,##0.000\);_(* &quot;-&quot;??_);_(@_)"/>
  </numFmts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Helvetica Narrow Bold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Georgia"/>
      <family val="1"/>
    </font>
    <font>
      <sz val="11"/>
      <color theme="1"/>
      <name val="Georgia"/>
      <family val="1"/>
    </font>
    <font>
      <b/>
      <i/>
      <sz val="22"/>
      <color theme="1"/>
      <name val="Georgia"/>
      <family val="1"/>
    </font>
    <font>
      <i/>
      <sz val="11"/>
      <color theme="1"/>
      <name val="Georgia"/>
      <family val="1"/>
    </font>
    <font>
      <b/>
      <sz val="11"/>
      <color theme="1"/>
      <name val="Palatino Roman"/>
      <family val="1"/>
    </font>
    <font>
      <sz val="11"/>
      <color theme="1"/>
      <name val="Palatino Roman"/>
      <family val="1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sz val="12"/>
      <name val="TIMES"/>
    </font>
    <font>
      <u/>
      <sz val="11"/>
      <color theme="10"/>
      <name val="Calibri"/>
      <family val="2"/>
      <scheme val="minor"/>
    </font>
    <font>
      <sz val="11"/>
      <color theme="1"/>
      <name val="Microsoft GothicNeo"/>
      <family val="2"/>
      <charset val="129"/>
    </font>
    <font>
      <sz val="11"/>
      <name val="Microsoft GothicNeo"/>
      <family val="2"/>
      <charset val="129"/>
    </font>
    <font>
      <b/>
      <sz val="11"/>
      <color theme="1"/>
      <name val="Microsoft GothicNeo"/>
      <family val="2"/>
      <charset val="129"/>
    </font>
    <font>
      <b/>
      <sz val="11"/>
      <name val="Microsoft GothicNeo"/>
      <family val="2"/>
      <charset val="129"/>
    </font>
    <font>
      <b/>
      <sz val="18"/>
      <color theme="1"/>
      <name val="Microsoft GothicNeo"/>
      <family val="2"/>
      <charset val="129"/>
    </font>
    <font>
      <b/>
      <sz val="16"/>
      <color theme="1"/>
      <name val="Microsoft GothicNeo"/>
      <family val="2"/>
      <charset val="129"/>
    </font>
    <font>
      <b/>
      <sz val="12"/>
      <color indexed="8"/>
      <name val="Microsoft GothicNeo"/>
      <family val="2"/>
      <charset val="129"/>
    </font>
    <font>
      <b/>
      <sz val="11"/>
      <color indexed="8"/>
      <name val="Microsoft GothicNeo"/>
      <family val="2"/>
      <charset val="129"/>
    </font>
    <font>
      <b/>
      <sz val="11"/>
      <color rgb="FFFF0000"/>
      <name val="Microsoft GothicNeo"/>
      <family val="2"/>
      <charset val="129"/>
    </font>
    <font>
      <b/>
      <sz val="14"/>
      <color theme="1"/>
      <name val="Microsoft GothicNeo"/>
      <family val="2"/>
      <charset val="129"/>
    </font>
    <font>
      <b/>
      <sz val="10"/>
      <color theme="1"/>
      <name val="Microsoft GothicNeo"/>
      <family val="2"/>
      <charset val="129"/>
    </font>
    <font>
      <sz val="9"/>
      <color theme="1"/>
      <name val="Microsoft GothicNeo"/>
      <family val="2"/>
      <charset val="129"/>
    </font>
    <font>
      <sz val="10"/>
      <color theme="1"/>
      <name val="Microsoft GothicNeo"/>
      <family val="2"/>
      <charset val="129"/>
    </font>
    <font>
      <i/>
      <sz val="9"/>
      <color theme="1"/>
      <name val="Microsoft GothicNeo"/>
      <family val="2"/>
      <charset val="129"/>
    </font>
    <font>
      <b/>
      <sz val="9"/>
      <color theme="1"/>
      <name val="Microsoft GothicNeo"/>
      <family val="2"/>
      <charset val="129"/>
    </font>
    <font>
      <b/>
      <sz val="12"/>
      <color theme="1"/>
      <name val="Microsoft GothicNeo"/>
      <family val="2"/>
      <charset val="129"/>
    </font>
    <font>
      <b/>
      <i/>
      <sz val="10"/>
      <color theme="1"/>
      <name val="Microsoft GothicNeo"/>
      <family val="2"/>
      <charset val="129"/>
    </font>
    <font>
      <sz val="16"/>
      <color theme="1"/>
      <name val="Microsoft GothicNeo"/>
      <family val="2"/>
      <charset val="129"/>
    </font>
    <font>
      <sz val="12"/>
      <color theme="1"/>
      <name val="Microsoft GothicNeo"/>
      <family val="2"/>
      <charset val="129"/>
    </font>
    <font>
      <b/>
      <sz val="12"/>
      <name val="Microsoft GothicNeo"/>
      <family val="2"/>
      <charset val="129"/>
    </font>
    <font>
      <b/>
      <i/>
      <u/>
      <sz val="11"/>
      <color theme="1"/>
      <name val="Microsoft GothicNeo"/>
      <family val="2"/>
      <charset val="129"/>
    </font>
    <font>
      <b/>
      <i/>
      <sz val="11"/>
      <color theme="1"/>
      <name val="Microsoft GothicNeo"/>
      <family val="2"/>
      <charset val="129"/>
    </font>
    <font>
      <i/>
      <sz val="10"/>
      <color theme="1"/>
      <name val="Microsoft GothicNeo"/>
      <family val="2"/>
      <charset val="129"/>
    </font>
    <font>
      <b/>
      <sz val="16"/>
      <name val="Microsoft GothicNeo"/>
      <family val="2"/>
      <charset val="129"/>
    </font>
    <font>
      <b/>
      <sz val="16"/>
      <color rgb="FFFF0000"/>
      <name val="Microsoft GothicNeo"/>
      <family val="2"/>
      <charset val="129"/>
    </font>
    <font>
      <b/>
      <sz val="12"/>
      <color rgb="FF0000CC"/>
      <name val="Microsoft GothicNeo"/>
      <family val="2"/>
      <charset val="129"/>
    </font>
    <font>
      <b/>
      <sz val="14"/>
      <name val="Microsoft GothicNeo"/>
      <family val="2"/>
      <charset val="129"/>
    </font>
    <font>
      <u/>
      <sz val="11"/>
      <color theme="10"/>
      <name val="Microsoft GothicNeo"/>
      <family val="2"/>
      <charset val="129"/>
    </font>
    <font>
      <b/>
      <sz val="14"/>
      <color rgb="FFFF0000"/>
      <name val="Microsoft GothicNeo"/>
      <family val="2"/>
      <charset val="129"/>
    </font>
    <font>
      <b/>
      <sz val="11"/>
      <color theme="1"/>
      <name val="Calibri"/>
      <family val="2"/>
      <scheme val="minor"/>
    </font>
    <font>
      <sz val="14"/>
      <color theme="1"/>
      <name val="Microsoft GothicNeo"/>
      <family val="2"/>
      <charset val="129"/>
    </font>
    <font>
      <sz val="20"/>
      <color theme="1"/>
      <name val="Microsoft GothicNeo"/>
      <family val="2"/>
      <charset val="129"/>
    </font>
    <font>
      <b/>
      <sz val="20"/>
      <color theme="1"/>
      <name val="Microsoft GothicNeo"/>
      <family val="2"/>
      <charset val="129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i/>
      <sz val="18"/>
      <color rgb="FF0000CC"/>
      <name val="Microsoft GothicNeo"/>
      <family val="2"/>
      <charset val="129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i/>
      <sz val="18"/>
      <name val="Calibri"/>
      <family val="2"/>
      <scheme val="minor"/>
    </font>
    <font>
      <b/>
      <i/>
      <sz val="10"/>
      <color rgb="FF0000CC"/>
      <name val="Microsoft GothicNeo"/>
      <family val="2"/>
      <charset val="129"/>
    </font>
    <font>
      <b/>
      <sz val="9"/>
      <name val="Microsoft GothicNeo"/>
      <family val="2"/>
      <charset val="129"/>
    </font>
    <font>
      <sz val="12"/>
      <color rgb="FF000000"/>
      <name val="Arial"/>
      <family val="2"/>
    </font>
    <font>
      <i/>
      <sz val="11"/>
      <color theme="1"/>
      <name val="Microsoft GothicNeo"/>
      <family val="2"/>
      <charset val="129"/>
    </font>
    <font>
      <b/>
      <i/>
      <sz val="12"/>
      <color theme="1"/>
      <name val="Microsoft GothicNeo"/>
      <family val="2"/>
      <charset val="129"/>
    </font>
    <font>
      <sz val="11"/>
      <color rgb="FF0000CC"/>
      <name val="Microsoft GothicNeo"/>
      <family val="2"/>
      <charset val="129"/>
    </font>
    <font>
      <b/>
      <sz val="11"/>
      <color theme="1"/>
      <name val="Microsoft GothicNeo Light"/>
      <family val="2"/>
      <charset val="129"/>
    </font>
    <font>
      <u/>
      <sz val="11"/>
      <color theme="10"/>
      <name val="Microsoft GothicNeo Light"/>
      <family val="2"/>
      <charset val="129"/>
    </font>
    <font>
      <sz val="11"/>
      <color theme="1"/>
      <name val="Cordia New"/>
      <family val="2"/>
      <charset val="222"/>
    </font>
    <font>
      <b/>
      <sz val="11"/>
      <color theme="1"/>
      <name val="Cordia New"/>
      <family val="2"/>
      <charset val="222"/>
    </font>
    <font>
      <sz val="10"/>
      <name val="Cordia New"/>
      <family val="2"/>
      <charset val="222"/>
    </font>
    <font>
      <u/>
      <sz val="11"/>
      <color rgb="FF0000CC"/>
      <name val="Cordia New"/>
      <family val="2"/>
      <charset val="222"/>
    </font>
    <font>
      <sz val="10"/>
      <color theme="1"/>
      <name val="Cordia New"/>
      <family val="2"/>
      <charset val="222"/>
    </font>
    <font>
      <u/>
      <sz val="11"/>
      <color theme="10"/>
      <name val="Cordia New"/>
      <family val="2"/>
      <charset val="222"/>
    </font>
    <font>
      <sz val="11"/>
      <name val="Cordia New"/>
      <family val="2"/>
      <charset val="222"/>
    </font>
    <font>
      <sz val="9"/>
      <color rgb="FFC00000"/>
      <name val="Aptos"/>
      <family val="2"/>
    </font>
    <font>
      <b/>
      <i/>
      <sz val="12"/>
      <name val="Microsoft GothicNeo"/>
      <family val="2"/>
      <charset val="129"/>
    </font>
    <font>
      <b/>
      <i/>
      <sz val="14"/>
      <name val="Microsoft GothicNeo"/>
      <family val="2"/>
      <charset val="129"/>
    </font>
    <font>
      <u/>
      <sz val="12"/>
      <color rgb="FF0000CC"/>
      <name val="Microsoft GothicNeo"/>
      <family val="2"/>
      <charset val="129"/>
    </font>
    <font>
      <sz val="12"/>
      <color theme="1"/>
      <name val="Cordia New"/>
      <family val="2"/>
      <charset val="222"/>
    </font>
    <font>
      <b/>
      <sz val="14"/>
      <color theme="1"/>
      <name val="Microsoft GothicNeo Light"/>
      <family val="2"/>
      <charset val="129"/>
    </font>
    <font>
      <b/>
      <sz val="10"/>
      <color theme="1"/>
      <name val="Microsoft GothicNeo Light"/>
      <family val="2"/>
      <charset val="129"/>
    </font>
    <font>
      <b/>
      <sz val="7"/>
      <color theme="1"/>
      <name val="Microsoft GothicNeo Light"/>
      <family val="2"/>
      <charset val="129"/>
    </font>
    <font>
      <sz val="8"/>
      <name val="Calibri"/>
      <family val="2"/>
      <scheme val="minor"/>
    </font>
    <font>
      <b/>
      <sz val="12"/>
      <color rgb="FFA20000"/>
      <name val="Microsoft GothicNeo"/>
      <family val="2"/>
      <charset val="129"/>
    </font>
    <font>
      <sz val="12"/>
      <color rgb="FFA20000"/>
      <name val="Microsoft GothicNeo"/>
      <family val="2"/>
      <charset val="129"/>
    </font>
    <font>
      <sz val="11"/>
      <color rgb="FFA20000"/>
      <name val="Microsoft GothicNeo"/>
      <family val="2"/>
      <charset val="129"/>
    </font>
    <font>
      <b/>
      <sz val="11"/>
      <color rgb="FFA20000"/>
      <name val="Microsoft GothicNeo"/>
      <family val="2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 applyNumberFormat="0" applyFill="0" applyBorder="0" applyAlignment="0" applyProtection="0"/>
  </cellStyleXfs>
  <cellXfs count="482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3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3" fontId="21" fillId="0" borderId="0" xfId="1" applyFont="1" applyAlignment="1">
      <alignment horizontal="right" vertical="center"/>
    </xf>
    <xf numFmtId="43" fontId="21" fillId="0" borderId="0" xfId="1" applyFont="1" applyFill="1" applyAlignment="1">
      <alignment horizontal="right" vertical="center"/>
    </xf>
    <xf numFmtId="43" fontId="20" fillId="0" borderId="0" xfId="1" applyFont="1" applyFill="1" applyAlignment="1">
      <alignment horizontal="right"/>
    </xf>
    <xf numFmtId="43" fontId="20" fillId="0" borderId="0" xfId="1" applyFont="1" applyFill="1" applyAlignment="1">
      <alignment horizontal="center"/>
    </xf>
    <xf numFmtId="43" fontId="20" fillId="0" borderId="0" xfId="1" applyFont="1" applyFill="1" applyAlignment="1">
      <alignment horizontal="center" vertical="center"/>
    </xf>
    <xf numFmtId="43" fontId="20" fillId="0" borderId="0" xfId="1" applyFont="1" applyFill="1" applyBorder="1" applyAlignment="1">
      <alignment horizontal="center" vertical="center"/>
    </xf>
    <xf numFmtId="43" fontId="20" fillId="0" borderId="0" xfId="1" applyFont="1" applyFill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16" xfId="0" applyFont="1" applyBorder="1"/>
    <xf numFmtId="0" fontId="18" fillId="0" borderId="2" xfId="0" applyFont="1" applyBorder="1"/>
    <xf numFmtId="0" fontId="27" fillId="0" borderId="0" xfId="0" applyFont="1"/>
    <xf numFmtId="0" fontId="23" fillId="0" borderId="0" xfId="0" applyFont="1" applyAlignment="1">
      <alignment horizontal="center"/>
    </xf>
    <xf numFmtId="0" fontId="28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32" fillId="0" borderId="2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20" fillId="0" borderId="0" xfId="0" applyFont="1"/>
    <xf numFmtId="166" fontId="21" fillId="0" borderId="0" xfId="1" applyNumberFormat="1" applyFont="1" applyFill="1" applyAlignment="1">
      <alignment horizontal="center"/>
    </xf>
    <xf numFmtId="166" fontId="21" fillId="0" borderId="0" xfId="1" applyNumberFormat="1" applyFont="1" applyFill="1"/>
    <xf numFmtId="0" fontId="20" fillId="0" borderId="4" xfId="0" applyFont="1" applyBorder="1"/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right"/>
    </xf>
    <xf numFmtId="10" fontId="20" fillId="0" borderId="0" xfId="2" applyNumberFormat="1" applyFont="1" applyFill="1" applyAlignment="1">
      <alignment horizontal="center" vertical="center"/>
    </xf>
    <xf numFmtId="10" fontId="20" fillId="0" borderId="0" xfId="2" applyNumberFormat="1" applyFont="1" applyFill="1" applyBorder="1" applyAlignment="1">
      <alignment horizontal="center" vertical="center"/>
    </xf>
    <xf numFmtId="10" fontId="21" fillId="0" borderId="0" xfId="2" applyNumberFormat="1" applyFont="1" applyAlignment="1">
      <alignment horizontal="right" vertical="center"/>
    </xf>
    <xf numFmtId="10" fontId="21" fillId="0" borderId="0" xfId="2" applyNumberFormat="1" applyFont="1" applyFill="1" applyAlignment="1">
      <alignment horizontal="right"/>
    </xf>
    <xf numFmtId="10" fontId="20" fillId="0" borderId="0" xfId="2" applyNumberFormat="1" applyFont="1" applyFill="1" applyAlignment="1">
      <alignment horizontal="right"/>
    </xf>
    <xf numFmtId="10" fontId="20" fillId="0" borderId="0" xfId="2" applyNumberFormat="1" applyFont="1" applyFill="1" applyAlignment="1">
      <alignment horizontal="center"/>
    </xf>
    <xf numFmtId="10" fontId="20" fillId="0" borderId="0" xfId="2" applyNumberFormat="1" applyFont="1" applyFill="1"/>
    <xf numFmtId="0" fontId="18" fillId="2" borderId="19" xfId="0" applyFont="1" applyFill="1" applyBorder="1" applyAlignment="1">
      <alignment horizontal="center"/>
    </xf>
    <xf numFmtId="0" fontId="18" fillId="2" borderId="21" xfId="0" applyFont="1" applyFill="1" applyBorder="1" applyAlignment="1">
      <alignment horizontal="center"/>
    </xf>
    <xf numFmtId="2" fontId="37" fillId="0" borderId="0" xfId="0" applyNumberFormat="1" applyFont="1" applyAlignment="1">
      <alignment horizontal="center"/>
    </xf>
    <xf numFmtId="164" fontId="37" fillId="0" borderId="0" xfId="1" applyNumberFormat="1" applyFont="1" applyAlignment="1"/>
    <xf numFmtId="2" fontId="21" fillId="0" borderId="0" xfId="0" applyNumberFormat="1" applyFont="1" applyAlignment="1">
      <alignment horizontal="center"/>
    </xf>
    <xf numFmtId="0" fontId="33" fillId="0" borderId="0" xfId="0" applyFont="1"/>
    <xf numFmtId="43" fontId="23" fillId="0" borderId="0" xfId="1" applyFont="1" applyFill="1"/>
    <xf numFmtId="2" fontId="37" fillId="0" borderId="4" xfId="0" applyNumberFormat="1" applyFont="1" applyBorder="1" applyAlignment="1">
      <alignment horizontal="center"/>
    </xf>
    <xf numFmtId="10" fontId="21" fillId="0" borderId="0" xfId="2" applyNumberFormat="1" applyFont="1" applyFill="1" applyAlignment="1">
      <alignment horizontal="center"/>
    </xf>
    <xf numFmtId="0" fontId="18" fillId="0" borderId="2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18" fillId="0" borderId="4" xfId="0" applyFont="1" applyBorder="1"/>
    <xf numFmtId="2" fontId="21" fillId="0" borderId="0" xfId="0" applyNumberFormat="1" applyFont="1" applyAlignment="1">
      <alignment horizontal="right" vertical="center"/>
    </xf>
    <xf numFmtId="2" fontId="20" fillId="0" borderId="0" xfId="0" applyNumberFormat="1" applyFont="1" applyAlignment="1">
      <alignment horizontal="right"/>
    </xf>
    <xf numFmtId="10" fontId="20" fillId="0" borderId="0" xfId="0" applyNumberFormat="1" applyFont="1"/>
    <xf numFmtId="0" fontId="38" fillId="0" borderId="0" xfId="0" applyFont="1" applyAlignment="1">
      <alignment horizontal="center"/>
    </xf>
    <xf numFmtId="0" fontId="39" fillId="0" borderId="0" xfId="0" applyFont="1"/>
    <xf numFmtId="0" fontId="40" fillId="0" borderId="17" xfId="0" applyFont="1" applyBorder="1" applyAlignment="1">
      <alignment horizontal="center"/>
    </xf>
    <xf numFmtId="0" fontId="35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10" fontId="20" fillId="0" borderId="0" xfId="2" applyNumberFormat="1" applyFont="1"/>
    <xf numFmtId="10" fontId="20" fillId="0" borderId="0" xfId="1" applyNumberFormat="1" applyFont="1" applyFill="1"/>
    <xf numFmtId="10" fontId="42" fillId="0" borderId="0" xfId="2" applyNumberFormat="1" applyFont="1" applyFill="1" applyAlignment="1">
      <alignment horizontal="center"/>
    </xf>
    <xf numFmtId="164" fontId="20" fillId="0" borderId="0" xfId="1" applyNumberFormat="1" applyFont="1"/>
    <xf numFmtId="0" fontId="18" fillId="0" borderId="0" xfId="0" applyFont="1" applyAlignment="1">
      <alignment horizontal="left"/>
    </xf>
    <xf numFmtId="0" fontId="20" fillId="0" borderId="2" xfId="0" applyFont="1" applyBorder="1"/>
    <xf numFmtId="0" fontId="33" fillId="0" borderId="7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0" borderId="0" xfId="0" applyFont="1" applyAlignment="1">
      <alignment horizontal="center"/>
    </xf>
    <xf numFmtId="15" fontId="33" fillId="0" borderId="10" xfId="0" applyNumberFormat="1" applyFont="1" applyBorder="1" applyAlignment="1">
      <alignment horizontal="center"/>
    </xf>
    <xf numFmtId="15" fontId="33" fillId="0" borderId="0" xfId="0" quotePrefix="1" applyNumberFormat="1" applyFont="1" applyAlignment="1">
      <alignment horizontal="center"/>
    </xf>
    <xf numFmtId="0" fontId="37" fillId="0" borderId="10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11" xfId="0" applyFont="1" applyBorder="1" applyAlignment="1">
      <alignment horizontal="center"/>
    </xf>
    <xf numFmtId="0" fontId="33" fillId="0" borderId="10" xfId="0" applyFont="1" applyBorder="1"/>
    <xf numFmtId="0" fontId="33" fillId="0" borderId="7" xfId="0" applyFont="1" applyBorder="1"/>
    <xf numFmtId="0" fontId="37" fillId="0" borderId="0" xfId="0" applyFont="1" applyAlignment="1">
      <alignment horizontal="center"/>
    </xf>
    <xf numFmtId="2" fontId="37" fillId="0" borderId="10" xfId="0" applyNumberFormat="1" applyFont="1" applyBorder="1" applyAlignment="1">
      <alignment horizontal="center"/>
    </xf>
    <xf numFmtId="0" fontId="36" fillId="0" borderId="0" xfId="0" applyFont="1"/>
    <xf numFmtId="0" fontId="36" fillId="0" borderId="2" xfId="0" applyFont="1" applyBorder="1"/>
    <xf numFmtId="0" fontId="18" fillId="0" borderId="6" xfId="0" applyFont="1" applyBorder="1"/>
    <xf numFmtId="0" fontId="33" fillId="0" borderId="14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164" fontId="37" fillId="0" borderId="0" xfId="1" applyNumberFormat="1" applyFont="1" applyFill="1" applyBorder="1"/>
    <xf numFmtId="0" fontId="36" fillId="0" borderId="8" xfId="0" applyFont="1" applyBorder="1"/>
    <xf numFmtId="0" fontId="36" fillId="0" borderId="14" xfId="0" applyFont="1" applyBorder="1"/>
    <xf numFmtId="0" fontId="33" fillId="0" borderId="0" xfId="0" applyFont="1" applyAlignment="1">
      <alignment horizontal="right"/>
    </xf>
    <xf numFmtId="10" fontId="33" fillId="0" borderId="0" xfId="0" applyNumberFormat="1" applyFont="1" applyAlignment="1">
      <alignment horizontal="right"/>
    </xf>
    <xf numFmtId="10" fontId="33" fillId="0" borderId="0" xfId="2" applyNumberFormat="1" applyFont="1" applyFill="1"/>
    <xf numFmtId="10" fontId="33" fillId="0" borderId="0" xfId="2" applyNumberFormat="1" applyFont="1"/>
    <xf numFmtId="2" fontId="18" fillId="0" borderId="0" xfId="0" applyNumberFormat="1" applyFont="1"/>
    <xf numFmtId="0" fontId="27" fillId="0" borderId="0" xfId="0" applyFont="1" applyAlignment="1">
      <alignment horizontal="right"/>
    </xf>
    <xf numFmtId="0" fontId="21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165" fontId="20" fillId="0" borderId="0" xfId="3" applyNumberFormat="1" applyFont="1" applyFill="1" applyAlignment="1">
      <alignment horizontal="center"/>
    </xf>
    <xf numFmtId="164" fontId="21" fillId="0" borderId="0" xfId="1" applyNumberFormat="1" applyFont="1" applyFill="1"/>
    <xf numFmtId="10" fontId="21" fillId="0" borderId="0" xfId="2" applyNumberFormat="1" applyFont="1" applyFill="1"/>
    <xf numFmtId="0" fontId="27" fillId="0" borderId="2" xfId="0" applyFont="1" applyBorder="1" applyAlignment="1">
      <alignment horizontal="center"/>
    </xf>
    <xf numFmtId="10" fontId="37" fillId="0" borderId="0" xfId="2" applyNumberFormat="1" applyFont="1" applyFill="1" applyAlignment="1">
      <alignment horizontal="center"/>
    </xf>
    <xf numFmtId="10" fontId="37" fillId="0" borderId="0" xfId="2" applyNumberFormat="1" applyFont="1" applyFill="1"/>
    <xf numFmtId="2" fontId="33" fillId="0" borderId="2" xfId="0" applyNumberFormat="1" applyFont="1" applyBorder="1" applyAlignment="1">
      <alignment horizontal="center"/>
    </xf>
    <xf numFmtId="10" fontId="33" fillId="0" borderId="2" xfId="2" applyNumberFormat="1" applyFont="1" applyBorder="1"/>
    <xf numFmtId="10" fontId="33" fillId="0" borderId="0" xfId="0" applyNumberFormat="1" applyFont="1" applyAlignment="1">
      <alignment horizontal="center"/>
    </xf>
    <xf numFmtId="2" fontId="33" fillId="0" borderId="0" xfId="0" applyNumberFormat="1" applyFont="1" applyAlignment="1">
      <alignment horizontal="center"/>
    </xf>
    <xf numFmtId="0" fontId="37" fillId="0" borderId="0" xfId="0" applyFont="1"/>
    <xf numFmtId="0" fontId="33" fillId="0" borderId="0" xfId="0" applyFont="1" applyAlignment="1">
      <alignment horizontal="left"/>
    </xf>
    <xf numFmtId="10" fontId="18" fillId="0" borderId="0" xfId="0" applyNumberFormat="1" applyFont="1"/>
    <xf numFmtId="0" fontId="46" fillId="0" borderId="2" xfId="0" applyFont="1" applyBorder="1"/>
    <xf numFmtId="0" fontId="0" fillId="0" borderId="2" xfId="0" applyBorder="1"/>
    <xf numFmtId="0" fontId="27" fillId="0" borderId="2" xfId="0" applyFont="1" applyBorder="1"/>
    <xf numFmtId="0" fontId="18" fillId="0" borderId="5" xfId="0" applyFont="1" applyBorder="1"/>
    <xf numFmtId="0" fontId="18" fillId="0" borderId="12" xfId="0" applyFont="1" applyBorder="1"/>
    <xf numFmtId="0" fontId="20" fillId="0" borderId="8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46" fillId="0" borderId="32" xfId="0" applyFont="1" applyBorder="1"/>
    <xf numFmtId="0" fontId="33" fillId="0" borderId="30" xfId="0" applyFont="1" applyBorder="1"/>
    <xf numFmtId="0" fontId="33" fillId="0" borderId="1" xfId="0" applyFont="1" applyBorder="1"/>
    <xf numFmtId="10" fontId="37" fillId="0" borderId="0" xfId="2" applyNumberFormat="1" applyFont="1" applyAlignment="1">
      <alignment horizontal="right" vertical="center"/>
    </xf>
    <xf numFmtId="43" fontId="37" fillId="0" borderId="0" xfId="1" applyFont="1" applyAlignment="1">
      <alignment horizontal="right" vertical="center"/>
    </xf>
    <xf numFmtId="10" fontId="33" fillId="0" borderId="0" xfId="2" applyNumberFormat="1" applyFont="1" applyFill="1" applyAlignment="1">
      <alignment horizontal="right"/>
    </xf>
    <xf numFmtId="43" fontId="33" fillId="0" borderId="0" xfId="1" applyFont="1" applyFill="1" applyAlignment="1">
      <alignment horizontal="right"/>
    </xf>
    <xf numFmtId="43" fontId="33" fillId="0" borderId="0" xfId="1" applyFont="1" applyFill="1"/>
    <xf numFmtId="0" fontId="33" fillId="0" borderId="0" xfId="0" applyFont="1" applyAlignment="1">
      <alignment horizontal="center" vertical="center"/>
    </xf>
    <xf numFmtId="44" fontId="37" fillId="0" borderId="0" xfId="3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0" fillId="0" borderId="33" xfId="0" applyBorder="1"/>
    <xf numFmtId="0" fontId="18" fillId="0" borderId="31" xfId="0" applyFont="1" applyBorder="1"/>
    <xf numFmtId="0" fontId="23" fillId="0" borderId="33" xfId="0" applyFont="1" applyBorder="1" applyAlignment="1">
      <alignment horizontal="right"/>
    </xf>
    <xf numFmtId="10" fontId="23" fillId="0" borderId="16" xfId="2" applyNumberFormat="1" applyFont="1" applyFill="1" applyBorder="1" applyAlignment="1">
      <alignment horizontal="center"/>
    </xf>
    <xf numFmtId="0" fontId="35" fillId="0" borderId="16" xfId="0" applyFont="1" applyBorder="1" applyAlignment="1">
      <alignment horizontal="center"/>
    </xf>
    <xf numFmtId="0" fontId="22" fillId="0" borderId="31" xfId="0" applyFont="1" applyBorder="1"/>
    <xf numFmtId="0" fontId="22" fillId="0" borderId="33" xfId="0" applyFont="1" applyBorder="1" applyAlignment="1">
      <alignment horizontal="right"/>
    </xf>
    <xf numFmtId="0" fontId="22" fillId="0" borderId="33" xfId="0" applyFont="1" applyBorder="1"/>
    <xf numFmtId="0" fontId="18" fillId="0" borderId="33" xfId="0" applyFont="1" applyBorder="1"/>
    <xf numFmtId="0" fontId="33" fillId="0" borderId="7" xfId="0" applyFont="1" applyBorder="1" applyAlignment="1">
      <alignment horizontal="center" vertical="center"/>
    </xf>
    <xf numFmtId="10" fontId="33" fillId="0" borderId="0" xfId="2" applyNumberFormat="1" applyFont="1" applyBorder="1" applyAlignment="1">
      <alignment horizontal="center" vertical="center"/>
    </xf>
    <xf numFmtId="10" fontId="33" fillId="0" borderId="13" xfId="2" applyNumberFormat="1" applyFont="1" applyBorder="1" applyAlignment="1">
      <alignment horizontal="center" vertical="center"/>
    </xf>
    <xf numFmtId="0" fontId="36" fillId="0" borderId="7" xfId="0" applyFont="1" applyBorder="1"/>
    <xf numFmtId="0" fontId="36" fillId="0" borderId="13" xfId="0" applyFont="1" applyBorder="1"/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horizontal="right"/>
    </xf>
    <xf numFmtId="2" fontId="33" fillId="0" borderId="16" xfId="0" applyNumberFormat="1" applyFont="1" applyBorder="1" applyAlignment="1">
      <alignment horizontal="center"/>
    </xf>
    <xf numFmtId="43" fontId="33" fillId="0" borderId="0" xfId="1" applyFont="1" applyBorder="1" applyAlignment="1">
      <alignment horizontal="center" vertical="center"/>
    </xf>
    <xf numFmtId="43" fontId="33" fillId="0" borderId="0" xfId="1" applyFont="1" applyBorder="1" applyAlignment="1">
      <alignment vertical="center"/>
    </xf>
    <xf numFmtId="10" fontId="33" fillId="0" borderId="0" xfId="2" applyNumberFormat="1" applyFont="1" applyBorder="1" applyAlignment="1">
      <alignment vertical="center"/>
    </xf>
    <xf numFmtId="10" fontId="0" fillId="0" borderId="0" xfId="2" applyNumberFormat="1" applyFont="1"/>
    <xf numFmtId="10" fontId="33" fillId="0" borderId="0" xfId="2" applyNumberFormat="1" applyFont="1" applyFill="1" applyBorder="1" applyAlignment="1">
      <alignment horizontal="center" vertical="center"/>
    </xf>
    <xf numFmtId="0" fontId="33" fillId="0" borderId="29" xfId="0" applyFont="1" applyBorder="1"/>
    <xf numFmtId="0" fontId="33" fillId="0" borderId="20" xfId="0" applyFont="1" applyBorder="1"/>
    <xf numFmtId="0" fontId="33" fillId="0" borderId="22" xfId="0" applyFont="1" applyBorder="1"/>
    <xf numFmtId="10" fontId="37" fillId="2" borderId="25" xfId="2" applyNumberFormat="1" applyFont="1" applyFill="1" applyBorder="1" applyAlignment="1">
      <alignment horizontal="center"/>
    </xf>
    <xf numFmtId="0" fontId="18" fillId="0" borderId="23" xfId="0" applyFont="1" applyBorder="1"/>
    <xf numFmtId="10" fontId="27" fillId="0" borderId="3" xfId="2" applyNumberFormat="1" applyFont="1" applyBorder="1" applyAlignment="1">
      <alignment horizontal="center" vertical="center"/>
    </xf>
    <xf numFmtId="164" fontId="20" fillId="0" borderId="0" xfId="1" applyNumberFormat="1" applyFont="1" applyFill="1" applyAlignment="1"/>
    <xf numFmtId="2" fontId="23" fillId="0" borderId="16" xfId="0" applyNumberFormat="1" applyFont="1" applyBorder="1" applyAlignment="1">
      <alignment horizontal="center"/>
    </xf>
    <xf numFmtId="10" fontId="23" fillId="0" borderId="16" xfId="2" applyNumberFormat="1" applyFont="1" applyBorder="1" applyAlignment="1">
      <alignment horizontal="center"/>
    </xf>
    <xf numFmtId="2" fontId="23" fillId="0" borderId="16" xfId="0" applyNumberFormat="1" applyFont="1" applyBorder="1" applyAlignment="1">
      <alignment horizontal="center" vertical="center"/>
    </xf>
    <xf numFmtId="10" fontId="23" fillId="0" borderId="16" xfId="2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right" vertical="center"/>
    </xf>
    <xf numFmtId="0" fontId="29" fillId="0" borderId="17" xfId="0" applyFont="1" applyBorder="1" applyAlignment="1">
      <alignment horizontal="center"/>
    </xf>
    <xf numFmtId="0" fontId="20" fillId="0" borderId="2" xfId="0" quotePrefix="1" applyFont="1" applyBorder="1" applyAlignment="1">
      <alignment horizontal="center"/>
    </xf>
    <xf numFmtId="0" fontId="5" fillId="0" borderId="0" xfId="0" applyFont="1"/>
    <xf numFmtId="0" fontId="49" fillId="0" borderId="0" xfId="0" applyFont="1" applyAlignment="1">
      <alignment horizontal="center"/>
    </xf>
    <xf numFmtId="0" fontId="36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50" fillId="0" borderId="0" xfId="0" applyFont="1"/>
    <xf numFmtId="0" fontId="36" fillId="0" borderId="0" xfId="0" applyFont="1" applyAlignment="1">
      <alignment horizontal="right"/>
    </xf>
    <xf numFmtId="0" fontId="36" fillId="0" borderId="2" xfId="0" applyFont="1" applyBorder="1" applyAlignment="1">
      <alignment horizontal="center"/>
    </xf>
    <xf numFmtId="0" fontId="48" fillId="0" borderId="0" xfId="0" applyFont="1"/>
    <xf numFmtId="10" fontId="27" fillId="0" borderId="10" xfId="2" applyNumberFormat="1" applyFont="1" applyFill="1" applyBorder="1" applyAlignment="1">
      <alignment horizontal="center" vertical="center"/>
    </xf>
    <xf numFmtId="43" fontId="23" fillId="0" borderId="16" xfId="1" applyFont="1" applyBorder="1" applyAlignment="1">
      <alignment horizontal="center" vertical="center"/>
    </xf>
    <xf numFmtId="167" fontId="37" fillId="0" borderId="16" xfId="1" applyNumberFormat="1" applyFont="1" applyFill="1" applyBorder="1"/>
    <xf numFmtId="15" fontId="33" fillId="0" borderId="23" xfId="0" applyNumberFormat="1" applyFont="1" applyBorder="1" applyAlignment="1">
      <alignment horizontal="center"/>
    </xf>
    <xf numFmtId="15" fontId="33" fillId="0" borderId="12" xfId="0" applyNumberFormat="1" applyFont="1" applyBorder="1" applyAlignment="1">
      <alignment horizontal="center"/>
    </xf>
    <xf numFmtId="15" fontId="33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47" fillId="0" borderId="0" xfId="0" applyFont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1" xfId="0" applyBorder="1"/>
    <xf numFmtId="0" fontId="33" fillId="0" borderId="1" xfId="0" applyFont="1" applyBorder="1" applyAlignment="1">
      <alignment horizontal="center"/>
    </xf>
    <xf numFmtId="10" fontId="37" fillId="0" borderId="1" xfId="2" applyNumberFormat="1" applyFont="1" applyFill="1" applyBorder="1" applyAlignment="1">
      <alignment horizontal="center"/>
    </xf>
    <xf numFmtId="43" fontId="37" fillId="0" borderId="1" xfId="1" applyFont="1" applyFill="1" applyBorder="1" applyAlignment="1">
      <alignment horizontal="center"/>
    </xf>
    <xf numFmtId="43" fontId="37" fillId="0" borderId="0" xfId="1" applyFont="1" applyAlignment="1">
      <alignment horizontal="center"/>
    </xf>
    <xf numFmtId="43" fontId="37" fillId="0" borderId="0" xfId="1" applyFont="1" applyFill="1" applyAlignment="1">
      <alignment horizontal="center"/>
    </xf>
    <xf numFmtId="0" fontId="47" fillId="0" borderId="0" xfId="0" applyFont="1" applyAlignment="1">
      <alignment horizontal="right"/>
    </xf>
    <xf numFmtId="43" fontId="47" fillId="0" borderId="0" xfId="0" applyNumberFormat="1" applyFont="1"/>
    <xf numFmtId="2" fontId="47" fillId="0" borderId="0" xfId="0" applyNumberFormat="1" applyFont="1"/>
    <xf numFmtId="0" fontId="33" fillId="0" borderId="5" xfId="0" applyFont="1" applyBorder="1" applyAlignment="1">
      <alignment horizontal="center"/>
    </xf>
    <xf numFmtId="0" fontId="33" fillId="0" borderId="23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164" fontId="37" fillId="0" borderId="10" xfId="1" applyNumberFormat="1" applyFont="1" applyFill="1" applyBorder="1" applyAlignment="1">
      <alignment horizontal="center"/>
    </xf>
    <xf numFmtId="164" fontId="37" fillId="0" borderId="13" xfId="1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10" fontId="37" fillId="0" borderId="0" xfId="2" applyNumberFormat="1" applyFont="1" applyFill="1" applyBorder="1" applyAlignment="1">
      <alignment horizontal="center"/>
    </xf>
    <xf numFmtId="10" fontId="37" fillId="0" borderId="0" xfId="2" applyNumberFormat="1" applyFont="1" applyBorder="1" applyAlignment="1">
      <alignment horizontal="center" vertical="center"/>
    </xf>
    <xf numFmtId="10" fontId="27" fillId="0" borderId="3" xfId="2" applyNumberFormat="1" applyFont="1" applyFill="1" applyBorder="1" applyAlignment="1">
      <alignment horizontal="center" vertical="center"/>
    </xf>
    <xf numFmtId="0" fontId="27" fillId="0" borderId="31" xfId="0" applyFont="1" applyBorder="1"/>
    <xf numFmtId="0" fontId="18" fillId="0" borderId="32" xfId="0" applyFont="1" applyBorder="1"/>
    <xf numFmtId="0" fontId="33" fillId="0" borderId="31" xfId="0" applyFont="1" applyBorder="1"/>
    <xf numFmtId="0" fontId="33" fillId="0" borderId="33" xfId="0" applyFont="1" applyBorder="1"/>
    <xf numFmtId="15" fontId="33" fillId="0" borderId="6" xfId="0" applyNumberFormat="1" applyFont="1" applyBorder="1" applyAlignment="1">
      <alignment horizontal="center"/>
    </xf>
    <xf numFmtId="15" fontId="33" fillId="0" borderId="0" xfId="0" applyNumberFormat="1" applyFont="1" applyAlignment="1">
      <alignment horizontal="center"/>
    </xf>
    <xf numFmtId="0" fontId="53" fillId="0" borderId="0" xfId="0" applyFont="1"/>
    <xf numFmtId="0" fontId="33" fillId="0" borderId="12" xfId="0" applyFont="1" applyBorder="1" applyAlignment="1">
      <alignment horizontal="center"/>
    </xf>
    <xf numFmtId="0" fontId="34" fillId="0" borderId="35" xfId="0" applyFont="1" applyBorder="1" applyAlignment="1">
      <alignment horizontal="center"/>
    </xf>
    <xf numFmtId="10" fontId="35" fillId="0" borderId="0" xfId="2" applyNumberFormat="1" applyFont="1" applyFill="1" applyBorder="1"/>
    <xf numFmtId="0" fontId="33" fillId="3" borderId="34" xfId="0" applyFont="1" applyFill="1" applyBorder="1"/>
    <xf numFmtId="0" fontId="33" fillId="3" borderId="19" xfId="0" applyFont="1" applyFill="1" applyBorder="1"/>
    <xf numFmtId="0" fontId="37" fillId="3" borderId="19" xfId="0" applyFont="1" applyFill="1" applyBorder="1"/>
    <xf numFmtId="0" fontId="37" fillId="2" borderId="19" xfId="0" applyFont="1" applyFill="1" applyBorder="1"/>
    <xf numFmtId="0" fontId="27" fillId="0" borderId="27" xfId="0" applyFont="1" applyBorder="1" applyAlignment="1">
      <alignment horizontal="center"/>
    </xf>
    <xf numFmtId="0" fontId="36" fillId="2" borderId="25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/>
    </xf>
    <xf numFmtId="0" fontId="36" fillId="2" borderId="26" xfId="0" applyFont="1" applyFill="1" applyBorder="1" applyAlignment="1">
      <alignment horizontal="center"/>
    </xf>
    <xf numFmtId="0" fontId="18" fillId="2" borderId="26" xfId="0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 vertical="center"/>
    </xf>
    <xf numFmtId="0" fontId="18" fillId="2" borderId="28" xfId="0" applyFont="1" applyFill="1" applyBorder="1" applyAlignment="1">
      <alignment horizontal="center"/>
    </xf>
    <xf numFmtId="0" fontId="18" fillId="2" borderId="29" xfId="0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center"/>
    </xf>
    <xf numFmtId="0" fontId="36" fillId="2" borderId="24" xfId="0" applyFont="1" applyFill="1" applyBorder="1" applyAlignment="1">
      <alignment horizontal="center"/>
    </xf>
    <xf numFmtId="0" fontId="39" fillId="0" borderId="14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4" fillId="0" borderId="36" xfId="0" applyFont="1" applyBorder="1" applyAlignment="1">
      <alignment horizontal="center"/>
    </xf>
    <xf numFmtId="0" fontId="34" fillId="0" borderId="17" xfId="0" applyFont="1" applyBorder="1" applyAlignment="1">
      <alignment horizontal="center"/>
    </xf>
    <xf numFmtId="0" fontId="0" fillId="0" borderId="8" xfId="0" applyBorder="1"/>
    <xf numFmtId="0" fontId="0" fillId="0" borderId="14" xfId="0" applyBorder="1"/>
    <xf numFmtId="0" fontId="33" fillId="0" borderId="16" xfId="0" applyFont="1" applyBorder="1" applyAlignment="1">
      <alignment horizontal="right"/>
    </xf>
    <xf numFmtId="0" fontId="33" fillId="0" borderId="8" xfId="0" applyFont="1" applyBorder="1"/>
    <xf numFmtId="164" fontId="37" fillId="0" borderId="3" xfId="1" applyNumberFormat="1" applyFont="1" applyFill="1" applyBorder="1" applyAlignment="1">
      <alignment horizontal="center"/>
    </xf>
    <xf numFmtId="165" fontId="21" fillId="0" borderId="0" xfId="3" applyNumberFormat="1" applyFont="1" applyFill="1" applyAlignment="1">
      <alignment horizontal="right"/>
    </xf>
    <xf numFmtId="2" fontId="14" fillId="0" borderId="4" xfId="0" applyNumberFormat="1" applyFont="1" applyBorder="1" applyAlignment="1">
      <alignment horizontal="center"/>
    </xf>
    <xf numFmtId="0" fontId="34" fillId="0" borderId="37" xfId="0" applyFont="1" applyBorder="1" applyAlignment="1">
      <alignment horizontal="center"/>
    </xf>
    <xf numFmtId="164" fontId="43" fillId="0" borderId="0" xfId="1" applyNumberFormat="1" applyFont="1" applyFill="1" applyBorder="1"/>
    <xf numFmtId="10" fontId="23" fillId="0" borderId="31" xfId="2" applyNumberFormat="1" applyFont="1" applyFill="1" applyBorder="1" applyAlignment="1">
      <alignment horizontal="right"/>
    </xf>
    <xf numFmtId="10" fontId="23" fillId="0" borderId="33" xfId="0" applyNumberFormat="1" applyFont="1" applyBorder="1"/>
    <xf numFmtId="10" fontId="37" fillId="0" borderId="16" xfId="2" applyNumberFormat="1" applyFont="1" applyFill="1" applyBorder="1"/>
    <xf numFmtId="43" fontId="23" fillId="0" borderId="16" xfId="1" applyFont="1" applyFill="1" applyBorder="1" applyAlignment="1">
      <alignment horizontal="center" vertical="center"/>
    </xf>
    <xf numFmtId="0" fontId="0" fillId="0" borderId="6" xfId="0" applyBorder="1"/>
    <xf numFmtId="10" fontId="37" fillId="0" borderId="0" xfId="2" applyNumberFormat="1" applyFont="1" applyFill="1" applyBorder="1" applyAlignment="1">
      <alignment horizontal="right"/>
    </xf>
    <xf numFmtId="10" fontId="21" fillId="0" borderId="0" xfId="2" applyNumberFormat="1" applyFont="1" applyFill="1" applyAlignment="1">
      <alignment horizontal="center" vertical="center"/>
    </xf>
    <xf numFmtId="10" fontId="21" fillId="0" borderId="1" xfId="2" applyNumberFormat="1" applyFont="1" applyFill="1" applyBorder="1" applyAlignment="1">
      <alignment horizontal="center" vertical="center"/>
    </xf>
    <xf numFmtId="10" fontId="21" fillId="0" borderId="0" xfId="2" applyNumberFormat="1" applyFont="1" applyFill="1" applyAlignment="1">
      <alignment horizontal="right" vertical="center"/>
    </xf>
    <xf numFmtId="10" fontId="35" fillId="0" borderId="27" xfId="2" applyNumberFormat="1" applyFont="1" applyFill="1" applyBorder="1"/>
    <xf numFmtId="43" fontId="35" fillId="0" borderId="27" xfId="1" applyFont="1" applyFill="1" applyBorder="1"/>
    <xf numFmtId="2" fontId="35" fillId="0" borderId="27" xfId="0" applyNumberFormat="1" applyFont="1" applyBorder="1"/>
    <xf numFmtId="10" fontId="20" fillId="0" borderId="0" xfId="2" applyNumberFormat="1" applyFont="1" applyFill="1" applyAlignment="1">
      <alignment horizontal="right" vertical="center"/>
    </xf>
    <xf numFmtId="10" fontId="20" fillId="0" borderId="0" xfId="2" applyNumberFormat="1" applyFont="1" applyFill="1" applyBorder="1" applyAlignment="1">
      <alignment horizontal="right" vertical="center"/>
    </xf>
    <xf numFmtId="10" fontId="22" fillId="0" borderId="16" xfId="2" applyNumberFormat="1" applyFont="1" applyFill="1" applyBorder="1"/>
    <xf numFmtId="10" fontId="22" fillId="0" borderId="16" xfId="2" applyNumberFormat="1" applyFont="1" applyFill="1" applyBorder="1" applyAlignment="1">
      <alignment horizontal="center"/>
    </xf>
    <xf numFmtId="0" fontId="0" fillId="0" borderId="32" xfId="0" applyBorder="1"/>
    <xf numFmtId="10" fontId="21" fillId="0" borderId="0" xfId="2" applyNumberFormat="1" applyFont="1" applyAlignment="1">
      <alignment horizontal="right"/>
    </xf>
    <xf numFmtId="164" fontId="21" fillId="0" borderId="0" xfId="1" applyNumberFormat="1" applyFont="1" applyFill="1" applyAlignment="1"/>
    <xf numFmtId="164" fontId="21" fillId="0" borderId="1" xfId="1" applyNumberFormat="1" applyFont="1" applyFill="1" applyBorder="1" applyAlignment="1"/>
    <xf numFmtId="43" fontId="21" fillId="0" borderId="1" xfId="1" applyFont="1" applyFill="1" applyBorder="1" applyAlignment="1">
      <alignment horizontal="right" vertical="center"/>
    </xf>
    <xf numFmtId="10" fontId="21" fillId="0" borderId="1" xfId="2" applyNumberFormat="1" applyFont="1" applyFill="1" applyBorder="1" applyAlignment="1">
      <alignment horizontal="right" vertical="center"/>
    </xf>
    <xf numFmtId="43" fontId="37" fillId="0" borderId="1" xfId="1" applyFont="1" applyBorder="1" applyAlignment="1">
      <alignment horizontal="right" vertical="center"/>
    </xf>
    <xf numFmtId="0" fontId="20" fillId="0" borderId="1" xfId="0" applyFont="1" applyBorder="1" applyAlignment="1">
      <alignment horizontal="right"/>
    </xf>
    <xf numFmtId="10" fontId="21" fillId="0" borderId="1" xfId="2" applyNumberFormat="1" applyFont="1" applyBorder="1" applyAlignment="1">
      <alignment horizontal="right" vertical="center"/>
    </xf>
    <xf numFmtId="0" fontId="33" fillId="0" borderId="1" xfId="0" applyFont="1" applyBorder="1" applyAlignment="1">
      <alignment horizontal="right"/>
    </xf>
    <xf numFmtId="10" fontId="33" fillId="0" borderId="1" xfId="2" applyNumberFormat="1" applyFont="1" applyFill="1" applyBorder="1"/>
    <xf numFmtId="2" fontId="21" fillId="0" borderId="1" xfId="0" applyNumberFormat="1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37" fillId="0" borderId="7" xfId="0" applyFont="1" applyBorder="1"/>
    <xf numFmtId="164" fontId="47" fillId="0" borderId="0" xfId="0" applyNumberFormat="1" applyFont="1"/>
    <xf numFmtId="0" fontId="56" fillId="0" borderId="0" xfId="0" applyFont="1"/>
    <xf numFmtId="0" fontId="57" fillId="0" borderId="0" xfId="0" applyFont="1"/>
    <xf numFmtId="0" fontId="33" fillId="0" borderId="3" xfId="0" applyFont="1" applyBorder="1" applyAlignment="1">
      <alignment horizontal="right"/>
    </xf>
    <xf numFmtId="164" fontId="37" fillId="0" borderId="14" xfId="1" applyNumberFormat="1" applyFont="1" applyFill="1" applyBorder="1" applyAlignment="1">
      <alignment horizontal="center"/>
    </xf>
    <xf numFmtId="3" fontId="37" fillId="0" borderId="3" xfId="0" applyNumberFormat="1" applyFont="1" applyBorder="1"/>
    <xf numFmtId="3" fontId="37" fillId="0" borderId="10" xfId="0" applyNumberFormat="1" applyFont="1" applyBorder="1"/>
    <xf numFmtId="165" fontId="37" fillId="0" borderId="10" xfId="3" applyNumberFormat="1" applyFont="1" applyFill="1" applyBorder="1"/>
    <xf numFmtId="165" fontId="37" fillId="0" borderId="0" xfId="3" applyNumberFormat="1" applyFont="1" applyFill="1"/>
    <xf numFmtId="165" fontId="37" fillId="0" borderId="2" xfId="3" applyNumberFormat="1" applyFont="1" applyFill="1" applyBorder="1"/>
    <xf numFmtId="165" fontId="37" fillId="0" borderId="3" xfId="3" applyNumberFormat="1" applyFont="1" applyFill="1" applyBorder="1"/>
    <xf numFmtId="165" fontId="37" fillId="0" borderId="0" xfId="3" applyNumberFormat="1" applyFont="1" applyFill="1" applyBorder="1"/>
    <xf numFmtId="10" fontId="21" fillId="0" borderId="4" xfId="2" applyNumberFormat="1" applyFont="1" applyFill="1" applyBorder="1" applyAlignment="1">
      <alignment horizontal="right"/>
    </xf>
    <xf numFmtId="10" fontId="21" fillId="0" borderId="4" xfId="2" applyNumberFormat="1" applyFont="1" applyBorder="1" applyAlignment="1">
      <alignment horizontal="right"/>
    </xf>
    <xf numFmtId="10" fontId="21" fillId="0" borderId="4" xfId="2" applyNumberFormat="1" applyFont="1" applyFill="1" applyBorder="1" applyAlignment="1">
      <alignment horizontal="center"/>
    </xf>
    <xf numFmtId="10" fontId="27" fillId="0" borderId="0" xfId="2" applyNumberFormat="1" applyFont="1" applyFill="1" applyBorder="1" applyAlignment="1">
      <alignment horizontal="center" vertical="center"/>
    </xf>
    <xf numFmtId="10" fontId="27" fillId="0" borderId="2" xfId="2" applyNumberFormat="1" applyFont="1" applyBorder="1" applyAlignment="1">
      <alignment horizontal="center" vertical="center"/>
    </xf>
    <xf numFmtId="0" fontId="59" fillId="0" borderId="0" xfId="0" applyFont="1" applyAlignment="1">
      <alignment horizontal="left" vertical="top"/>
    </xf>
    <xf numFmtId="44" fontId="37" fillId="0" borderId="10" xfId="3" applyFont="1" applyFill="1" applyBorder="1" applyAlignment="1">
      <alignment horizontal="center"/>
    </xf>
    <xf numFmtId="44" fontId="37" fillId="0" borderId="0" xfId="3" applyFont="1" applyFill="1" applyAlignment="1">
      <alignment horizontal="center"/>
    </xf>
    <xf numFmtId="44" fontId="37" fillId="0" borderId="3" xfId="3" applyFont="1" applyFill="1" applyBorder="1" applyAlignment="1">
      <alignment horizontal="center"/>
    </xf>
    <xf numFmtId="44" fontId="37" fillId="0" borderId="2" xfId="3" applyFont="1" applyFill="1" applyBorder="1" applyAlignment="1">
      <alignment horizontal="center"/>
    </xf>
    <xf numFmtId="0" fontId="37" fillId="0" borderId="18" xfId="0" applyFont="1" applyBorder="1"/>
    <xf numFmtId="10" fontId="37" fillId="0" borderId="27" xfId="2" applyNumberFormat="1" applyFont="1" applyFill="1" applyBorder="1" applyAlignment="1">
      <alignment horizontal="center"/>
    </xf>
    <xf numFmtId="0" fontId="27" fillId="0" borderId="3" xfId="0" applyFont="1" applyBorder="1" applyAlignment="1">
      <alignment horizontal="center"/>
    </xf>
    <xf numFmtId="10" fontId="37" fillId="3" borderId="34" xfId="2" applyNumberFormat="1" applyFont="1" applyFill="1" applyBorder="1" applyAlignment="1">
      <alignment horizontal="center"/>
    </xf>
    <xf numFmtId="10" fontId="37" fillId="3" borderId="19" xfId="2" applyNumberFormat="1" applyFont="1" applyFill="1" applyBorder="1" applyAlignment="1">
      <alignment horizontal="center"/>
    </xf>
    <xf numFmtId="0" fontId="18" fillId="0" borderId="19" xfId="0" applyFont="1" applyBorder="1"/>
    <xf numFmtId="10" fontId="18" fillId="0" borderId="19" xfId="0" applyNumberFormat="1" applyFont="1" applyBorder="1"/>
    <xf numFmtId="0" fontId="20" fillId="0" borderId="28" xfId="0" applyFont="1" applyBorder="1" applyAlignment="1">
      <alignment horizontal="center"/>
    </xf>
    <xf numFmtId="44" fontId="21" fillId="0" borderId="19" xfId="3" applyFont="1" applyFill="1" applyBorder="1" applyAlignment="1">
      <alignment horizontal="center"/>
    </xf>
    <xf numFmtId="0" fontId="18" fillId="0" borderId="39" xfId="0" applyFont="1" applyBorder="1"/>
    <xf numFmtId="2" fontId="21" fillId="0" borderId="19" xfId="0" applyNumberFormat="1" applyFont="1" applyBorder="1" applyAlignment="1">
      <alignment horizontal="right" vertical="center"/>
    </xf>
    <xf numFmtId="2" fontId="21" fillId="0" borderId="21" xfId="0" applyNumberFormat="1" applyFont="1" applyBorder="1" applyAlignment="1">
      <alignment horizontal="right" vertical="center"/>
    </xf>
    <xf numFmtId="0" fontId="20" fillId="0" borderId="34" xfId="0" applyFont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29" fillId="0" borderId="21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2" fontId="21" fillId="0" borderId="0" xfId="0" applyNumberFormat="1" applyFont="1" applyAlignment="1">
      <alignment horizontal="right"/>
    </xf>
    <xf numFmtId="0" fontId="18" fillId="0" borderId="4" xfId="0" applyFont="1" applyBorder="1" applyAlignment="1">
      <alignment horizontal="right"/>
    </xf>
    <xf numFmtId="0" fontId="0" fillId="0" borderId="4" xfId="0" applyBorder="1"/>
    <xf numFmtId="10" fontId="18" fillId="0" borderId="19" xfId="2" applyNumberFormat="1" applyFont="1" applyFill="1" applyBorder="1"/>
    <xf numFmtId="0" fontId="37" fillId="2" borderId="21" xfId="0" applyFont="1" applyFill="1" applyBorder="1"/>
    <xf numFmtId="10" fontId="37" fillId="2" borderId="26" xfId="2" applyNumberFormat="1" applyFont="1" applyFill="1" applyBorder="1" applyAlignment="1">
      <alignment horizontal="center"/>
    </xf>
    <xf numFmtId="0" fontId="60" fillId="0" borderId="0" xfId="0" applyFont="1"/>
    <xf numFmtId="2" fontId="37" fillId="0" borderId="13" xfId="0" applyNumberFormat="1" applyFont="1" applyBorder="1" applyAlignment="1">
      <alignment horizontal="right"/>
    </xf>
    <xf numFmtId="2" fontId="37" fillId="0" borderId="38" xfId="0" applyNumberFormat="1" applyFont="1" applyBorder="1" applyAlignment="1">
      <alignment horizontal="right"/>
    </xf>
    <xf numFmtId="10" fontId="20" fillId="0" borderId="0" xfId="0" applyNumberFormat="1" applyFont="1" applyAlignment="1">
      <alignment horizontal="right"/>
    </xf>
    <xf numFmtId="1" fontId="21" fillId="0" borderId="0" xfId="0" applyNumberFormat="1" applyFont="1" applyAlignment="1">
      <alignment horizontal="right"/>
    </xf>
    <xf numFmtId="1" fontId="21" fillId="0" borderId="0" xfId="0" applyNumberFormat="1" applyFont="1"/>
    <xf numFmtId="0" fontId="18" fillId="0" borderId="8" xfId="0" applyFont="1" applyBorder="1"/>
    <xf numFmtId="0" fontId="18" fillId="0" borderId="14" xfId="0" applyFont="1" applyBorder="1"/>
    <xf numFmtId="10" fontId="41" fillId="0" borderId="16" xfId="2" applyNumberFormat="1" applyFont="1" applyFill="1" applyBorder="1" applyAlignment="1">
      <alignment horizontal="center"/>
    </xf>
    <xf numFmtId="0" fontId="36" fillId="2" borderId="0" xfId="0" applyFont="1" applyFill="1" applyAlignment="1">
      <alignment horizontal="center"/>
    </xf>
    <xf numFmtId="0" fontId="36" fillId="2" borderId="1" xfId="0" applyFont="1" applyFill="1" applyBorder="1" applyAlignment="1">
      <alignment horizontal="center"/>
    </xf>
    <xf numFmtId="0" fontId="18" fillId="2" borderId="41" xfId="0" applyFont="1" applyFill="1" applyBorder="1" applyAlignment="1">
      <alignment horizontal="center"/>
    </xf>
    <xf numFmtId="0" fontId="36" fillId="2" borderId="21" xfId="0" applyFont="1" applyFill="1" applyBorder="1" applyAlignment="1">
      <alignment horizontal="center"/>
    </xf>
    <xf numFmtId="10" fontId="23" fillId="0" borderId="16" xfId="2" applyNumberFormat="1" applyFont="1" applyFill="1" applyBorder="1" applyAlignment="1">
      <alignment horizontal="center" vertical="center"/>
    </xf>
    <xf numFmtId="0" fontId="0" fillId="0" borderId="19" xfId="0" applyBorder="1"/>
    <xf numFmtId="0" fontId="61" fillId="0" borderId="0" xfId="0" applyFont="1"/>
    <xf numFmtId="43" fontId="35" fillId="0" borderId="18" xfId="0" applyNumberFormat="1" applyFont="1" applyBorder="1"/>
    <xf numFmtId="10" fontId="21" fillId="0" borderId="1" xfId="1" applyNumberFormat="1" applyFont="1" applyFill="1" applyBorder="1" applyAlignment="1"/>
    <xf numFmtId="10" fontId="21" fillId="0" borderId="0" xfId="1" applyNumberFormat="1" applyFont="1" applyFill="1" applyAlignment="1"/>
    <xf numFmtId="0" fontId="45" fillId="0" borderId="0" xfId="6" applyFont="1"/>
    <xf numFmtId="0" fontId="63" fillId="0" borderId="0" xfId="0" applyFont="1"/>
    <xf numFmtId="0" fontId="64" fillId="0" borderId="0" xfId="6" applyFont="1"/>
    <xf numFmtId="0" fontId="43" fillId="0" borderId="7" xfId="0" applyFont="1" applyBorder="1" applyAlignment="1">
      <alignment horizontal="center" vertical="center"/>
    </xf>
    <xf numFmtId="10" fontId="43" fillId="0" borderId="0" xfId="2" applyNumberFormat="1" applyFont="1" applyFill="1" applyBorder="1" applyAlignment="1">
      <alignment horizontal="center" vertical="center"/>
    </xf>
    <xf numFmtId="44" fontId="37" fillId="0" borderId="8" xfId="3" applyFont="1" applyFill="1" applyBorder="1" applyAlignment="1">
      <alignment horizontal="center"/>
    </xf>
    <xf numFmtId="15" fontId="33" fillId="0" borderId="23" xfId="0" quotePrefix="1" applyNumberFormat="1" applyFont="1" applyBorder="1" applyAlignment="1">
      <alignment horizontal="center"/>
    </xf>
    <xf numFmtId="10" fontId="37" fillId="0" borderId="10" xfId="2" applyNumberFormat="1" applyFont="1" applyFill="1" applyBorder="1"/>
    <xf numFmtId="0" fontId="36" fillId="0" borderId="3" xfId="0" applyFont="1" applyBorder="1"/>
    <xf numFmtId="0" fontId="36" fillId="0" borderId="10" xfId="0" applyFont="1" applyBorder="1"/>
    <xf numFmtId="165" fontId="37" fillId="0" borderId="10" xfId="3" applyNumberFormat="1" applyFont="1" applyBorder="1"/>
    <xf numFmtId="164" fontId="33" fillId="0" borderId="10" xfId="1" applyNumberFormat="1" applyFont="1" applyBorder="1"/>
    <xf numFmtId="0" fontId="27" fillId="2" borderId="24" xfId="0" applyFont="1" applyFill="1" applyBorder="1" applyAlignment="1">
      <alignment horizontal="center"/>
    </xf>
    <xf numFmtId="10" fontId="21" fillId="2" borderId="10" xfId="2" applyNumberFormat="1" applyFont="1" applyFill="1" applyBorder="1" applyAlignment="1">
      <alignment horizontal="center"/>
    </xf>
    <xf numFmtId="10" fontId="21" fillId="2" borderId="3" xfId="2" applyNumberFormat="1" applyFont="1" applyFill="1" applyBorder="1" applyAlignment="1">
      <alignment horizontal="center"/>
    </xf>
    <xf numFmtId="10" fontId="21" fillId="2" borderId="3" xfId="1" applyNumberFormat="1" applyFont="1" applyFill="1" applyBorder="1" applyAlignment="1">
      <alignment horizontal="center"/>
    </xf>
    <xf numFmtId="10" fontId="21" fillId="2" borderId="23" xfId="1" applyNumberFormat="1" applyFont="1" applyFill="1" applyBorder="1" applyAlignment="1">
      <alignment horizontal="center"/>
    </xf>
    <xf numFmtId="10" fontId="21" fillId="2" borderId="10" xfId="1" applyNumberFormat="1" applyFont="1" applyFill="1" applyBorder="1" applyAlignment="1">
      <alignment horizontal="center"/>
    </xf>
    <xf numFmtId="0" fontId="36" fillId="2" borderId="28" xfId="0" applyFont="1" applyFill="1" applyBorder="1" applyAlignment="1">
      <alignment horizontal="center"/>
    </xf>
    <xf numFmtId="0" fontId="18" fillId="2" borderId="42" xfId="0" applyFont="1" applyFill="1" applyBorder="1" applyAlignment="1">
      <alignment horizontal="center"/>
    </xf>
    <xf numFmtId="0" fontId="36" fillId="2" borderId="19" xfId="0" applyFont="1" applyFill="1" applyBorder="1" applyAlignment="1">
      <alignment horizontal="center"/>
    </xf>
    <xf numFmtId="0" fontId="18" fillId="2" borderId="43" xfId="0" applyFont="1" applyFill="1" applyBorder="1" applyAlignment="1">
      <alignment horizontal="center"/>
    </xf>
    <xf numFmtId="0" fontId="55" fillId="2" borderId="16" xfId="0" applyFont="1" applyFill="1" applyBorder="1"/>
    <xf numFmtId="0" fontId="65" fillId="3" borderId="0" xfId="0" applyFont="1" applyFill="1" applyAlignment="1">
      <alignment horizontal="center"/>
    </xf>
    <xf numFmtId="164" fontId="20" fillId="3" borderId="0" xfId="0" applyNumberFormat="1" applyFont="1" applyFill="1" applyAlignment="1">
      <alignment horizontal="center"/>
    </xf>
    <xf numFmtId="164" fontId="20" fillId="3" borderId="0" xfId="0" applyNumberFormat="1" applyFont="1" applyFill="1" applyAlignment="1">
      <alignment horizontal="right"/>
    </xf>
    <xf numFmtId="164" fontId="20" fillId="3" borderId="0" xfId="0" applyNumberFormat="1" applyFont="1" applyFill="1"/>
    <xf numFmtId="165" fontId="37" fillId="3" borderId="0" xfId="3" applyNumberFormat="1" applyFont="1" applyFill="1" applyBorder="1"/>
    <xf numFmtId="0" fontId="58" fillId="2" borderId="23" xfId="0" applyFont="1" applyFill="1" applyBorder="1" applyAlignment="1">
      <alignment horizontal="center" vertical="center" wrapText="1"/>
    </xf>
    <xf numFmtId="0" fontId="65" fillId="0" borderId="0" xfId="0" applyFont="1"/>
    <xf numFmtId="0" fontId="66" fillId="0" borderId="0" xfId="0" applyFont="1"/>
    <xf numFmtId="0" fontId="0" fillId="0" borderId="3" xfId="0" applyBorder="1"/>
    <xf numFmtId="15" fontId="33" fillId="0" borderId="10" xfId="0" quotePrefix="1" applyNumberFormat="1" applyFont="1" applyBorder="1" applyAlignment="1">
      <alignment horizontal="center"/>
    </xf>
    <xf numFmtId="15" fontId="33" fillId="0" borderId="2" xfId="0" quotePrefix="1" applyNumberFormat="1" applyFont="1" applyBorder="1" applyAlignment="1">
      <alignment horizontal="center"/>
    </xf>
    <xf numFmtId="0" fontId="44" fillId="4" borderId="24" xfId="0" applyFont="1" applyFill="1" applyBorder="1" applyAlignment="1">
      <alignment horizontal="center"/>
    </xf>
    <xf numFmtId="0" fontId="44" fillId="4" borderId="26" xfId="0" applyFont="1" applyFill="1" applyBorder="1" applyAlignment="1">
      <alignment horizontal="center"/>
    </xf>
    <xf numFmtId="0" fontId="27" fillId="0" borderId="28" xfId="0" applyFont="1" applyBorder="1"/>
    <xf numFmtId="10" fontId="44" fillId="0" borderId="24" xfId="2" applyNumberFormat="1" applyFont="1" applyFill="1" applyBorder="1" applyAlignment="1">
      <alignment horizontal="center"/>
    </xf>
    <xf numFmtId="0" fontId="27" fillId="0" borderId="19" xfId="0" applyFont="1" applyBorder="1"/>
    <xf numFmtId="10" fontId="44" fillId="0" borderId="25" xfId="2" applyNumberFormat="1" applyFont="1" applyFill="1" applyBorder="1" applyAlignment="1">
      <alignment horizontal="center"/>
    </xf>
    <xf numFmtId="0" fontId="27" fillId="0" borderId="21" xfId="0" applyFont="1" applyBorder="1"/>
    <xf numFmtId="10" fontId="44" fillId="0" borderId="26" xfId="2" applyNumberFormat="1" applyFont="1" applyFill="1" applyBorder="1" applyAlignment="1">
      <alignment horizontal="center"/>
    </xf>
    <xf numFmtId="10" fontId="27" fillId="0" borderId="25" xfId="2" applyNumberFormat="1" applyFont="1" applyFill="1" applyBorder="1" applyAlignment="1">
      <alignment horizontal="center"/>
    </xf>
    <xf numFmtId="10" fontId="27" fillId="0" borderId="26" xfId="2" applyNumberFormat="1" applyFont="1" applyFill="1" applyBorder="1" applyAlignment="1">
      <alignment horizontal="center"/>
    </xf>
    <xf numFmtId="10" fontId="44" fillId="0" borderId="25" xfId="2" applyNumberFormat="1" applyFont="1" applyBorder="1" applyAlignment="1">
      <alignment horizontal="center" vertical="center"/>
    </xf>
    <xf numFmtId="10" fontId="44" fillId="0" borderId="26" xfId="2" applyNumberFormat="1" applyFont="1" applyBorder="1" applyAlignment="1">
      <alignment horizontal="center" vertical="center"/>
    </xf>
    <xf numFmtId="10" fontId="27" fillId="0" borderId="24" xfId="2" applyNumberFormat="1" applyFont="1" applyFill="1" applyBorder="1" applyAlignment="1">
      <alignment horizontal="center"/>
    </xf>
    <xf numFmtId="0" fontId="18" fillId="0" borderId="30" xfId="0" applyFont="1" applyBorder="1"/>
    <xf numFmtId="0" fontId="18" fillId="0" borderId="29" xfId="0" applyFont="1" applyBorder="1"/>
    <xf numFmtId="0" fontId="18" fillId="0" borderId="20" xfId="0" applyFont="1" applyBorder="1"/>
    <xf numFmtId="0" fontId="18" fillId="0" borderId="1" xfId="0" applyFont="1" applyBorder="1"/>
    <xf numFmtId="0" fontId="18" fillId="0" borderId="22" xfId="0" applyFont="1" applyBorder="1"/>
    <xf numFmtId="0" fontId="0" fillId="0" borderId="30" xfId="0" applyBorder="1"/>
    <xf numFmtId="0" fontId="66" fillId="0" borderId="0" xfId="0" applyFont="1" applyAlignment="1">
      <alignment vertical="center"/>
    </xf>
    <xf numFmtId="15" fontId="67" fillId="0" borderId="0" xfId="0" quotePrefix="1" applyNumberFormat="1" applyFont="1" applyAlignment="1">
      <alignment horizontal="left"/>
    </xf>
    <xf numFmtId="0" fontId="68" fillId="0" borderId="0" xfId="6" applyFont="1"/>
    <xf numFmtId="0" fontId="62" fillId="0" borderId="0" xfId="0" applyFont="1"/>
    <xf numFmtId="0" fontId="69" fillId="0" borderId="0" xfId="0" applyFont="1" applyAlignment="1">
      <alignment vertical="center"/>
    </xf>
    <xf numFmtId="0" fontId="70" fillId="0" borderId="0" xfId="6" applyFont="1" applyAlignment="1">
      <alignment vertical="center"/>
    </xf>
    <xf numFmtId="0" fontId="68" fillId="0" borderId="0" xfId="6" applyFont="1" applyAlignment="1">
      <alignment vertical="center"/>
    </xf>
    <xf numFmtId="0" fontId="17" fillId="0" borderId="0" xfId="6"/>
    <xf numFmtId="0" fontId="67" fillId="0" borderId="0" xfId="6" applyFont="1"/>
    <xf numFmtId="17" fontId="69" fillId="0" borderId="0" xfId="0" quotePrefix="1" applyNumberFormat="1" applyFont="1" applyAlignment="1">
      <alignment vertical="center"/>
    </xf>
    <xf numFmtId="0" fontId="71" fillId="0" borderId="0" xfId="6" applyFont="1" applyAlignment="1">
      <alignment vertical="center"/>
    </xf>
    <xf numFmtId="0" fontId="71" fillId="0" borderId="0" xfId="0" applyFont="1"/>
    <xf numFmtId="0" fontId="72" fillId="0" borderId="0" xfId="0" applyFont="1" applyAlignment="1">
      <alignment vertical="center"/>
    </xf>
    <xf numFmtId="10" fontId="73" fillId="0" borderId="0" xfId="2" applyNumberFormat="1" applyFont="1" applyFill="1" applyBorder="1" applyAlignment="1">
      <alignment horizontal="left"/>
    </xf>
    <xf numFmtId="0" fontId="4" fillId="0" borderId="0" xfId="0" applyFont="1"/>
    <xf numFmtId="10" fontId="74" fillId="0" borderId="24" xfId="2" applyNumberFormat="1" applyFont="1" applyFill="1" applyBorder="1" applyAlignment="1">
      <alignment horizontal="center"/>
    </xf>
    <xf numFmtId="10" fontId="74" fillId="0" borderId="25" xfId="2" applyNumberFormat="1" applyFont="1" applyFill="1" applyBorder="1" applyAlignment="1">
      <alignment horizontal="center"/>
    </xf>
    <xf numFmtId="10" fontId="74" fillId="0" borderId="26" xfId="2" applyNumberFormat="1" applyFont="1" applyFill="1" applyBorder="1" applyAlignment="1">
      <alignment horizontal="center"/>
    </xf>
    <xf numFmtId="0" fontId="37" fillId="0" borderId="28" xfId="0" applyFont="1" applyBorder="1"/>
    <xf numFmtId="0" fontId="0" fillId="0" borderId="29" xfId="0" applyBorder="1"/>
    <xf numFmtId="0" fontId="37" fillId="0" borderId="19" xfId="0" applyFont="1" applyBorder="1"/>
    <xf numFmtId="0" fontId="0" fillId="0" borderId="20" xfId="0" applyBorder="1"/>
    <xf numFmtId="0" fontId="37" fillId="0" borderId="21" xfId="0" applyFont="1" applyBorder="1"/>
    <xf numFmtId="0" fontId="0" fillId="0" borderId="22" xfId="0" applyBorder="1"/>
    <xf numFmtId="10" fontId="33" fillId="0" borderId="28" xfId="2" applyNumberFormat="1" applyFont="1" applyBorder="1" applyAlignment="1">
      <alignment horizontal="left"/>
    </xf>
    <xf numFmtId="0" fontId="33" fillId="0" borderId="19" xfId="0" applyFont="1" applyBorder="1"/>
    <xf numFmtId="0" fontId="75" fillId="0" borderId="21" xfId="6" applyFont="1" applyBorder="1"/>
    <xf numFmtId="1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2" fontId="4" fillId="0" borderId="0" xfId="0" applyNumberFormat="1" applyFont="1" applyAlignment="1">
      <alignment horizontal="left"/>
    </xf>
    <xf numFmtId="2" fontId="48" fillId="0" borderId="0" xfId="0" applyNumberFormat="1" applyFont="1" applyAlignment="1">
      <alignment horizontal="left"/>
    </xf>
    <xf numFmtId="0" fontId="76" fillId="0" borderId="0" xfId="0" applyFont="1" applyAlignment="1">
      <alignment horizontal="left"/>
    </xf>
    <xf numFmtId="0" fontId="27" fillId="0" borderId="0" xfId="0" applyFont="1" applyAlignment="1">
      <alignment horizontal="right" indent="1"/>
    </xf>
    <xf numFmtId="0" fontId="0" fillId="0" borderId="24" xfId="0" applyBorder="1"/>
    <xf numFmtId="10" fontId="27" fillId="0" borderId="25" xfId="2" applyNumberFormat="1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10" fontId="77" fillId="0" borderId="26" xfId="0" applyNumberFormat="1" applyFont="1" applyBorder="1" applyAlignment="1">
      <alignment horizontal="center"/>
    </xf>
    <xf numFmtId="0" fontId="0" fillId="0" borderId="28" xfId="0" applyBorder="1"/>
    <xf numFmtId="0" fontId="0" fillId="0" borderId="21" xfId="0" applyBorder="1"/>
    <xf numFmtId="0" fontId="27" fillId="4" borderId="27" xfId="0" applyFont="1" applyFill="1" applyBorder="1" applyAlignment="1">
      <alignment horizontal="center"/>
    </xf>
    <xf numFmtId="0" fontId="77" fillId="0" borderId="0" xfId="0" applyFont="1" applyAlignment="1">
      <alignment horizontal="right" vertical="center"/>
    </xf>
    <xf numFmtId="0" fontId="77" fillId="0" borderId="30" xfId="0" applyFont="1" applyBorder="1" applyAlignment="1">
      <alignment horizontal="right"/>
    </xf>
    <xf numFmtId="0" fontId="78" fillId="0" borderId="0" xfId="0" applyFont="1" applyAlignment="1">
      <alignment horizontal="right"/>
    </xf>
    <xf numFmtId="0" fontId="77" fillId="0" borderId="0" xfId="0" applyFont="1" applyAlignment="1">
      <alignment horizontal="right"/>
    </xf>
    <xf numFmtId="0" fontId="77" fillId="0" borderId="1" xfId="0" applyFont="1" applyBorder="1" applyAlignment="1">
      <alignment horizontal="right" vertical="center"/>
    </xf>
    <xf numFmtId="10" fontId="77" fillId="0" borderId="25" xfId="0" applyNumberFormat="1" applyFont="1" applyBorder="1" applyAlignment="1">
      <alignment horizontal="center"/>
    </xf>
    <xf numFmtId="10" fontId="23" fillId="5" borderId="16" xfId="2" applyNumberFormat="1" applyFont="1" applyFill="1" applyBorder="1" applyAlignment="1">
      <alignment horizontal="center"/>
    </xf>
    <xf numFmtId="10" fontId="41" fillId="5" borderId="16" xfId="2" applyNumberFormat="1" applyFont="1" applyFill="1" applyBorder="1" applyAlignment="1">
      <alignment horizontal="center"/>
    </xf>
    <xf numFmtId="10" fontId="21" fillId="0" borderId="0" xfId="0" applyNumberFormat="1" applyFont="1" applyAlignment="1">
      <alignment horizontal="right"/>
    </xf>
    <xf numFmtId="0" fontId="47" fillId="0" borderId="0" xfId="0" applyFont="1"/>
    <xf numFmtId="43" fontId="37" fillId="0" borderId="10" xfId="1" applyFont="1" applyFill="1" applyBorder="1"/>
    <xf numFmtId="0" fontId="17" fillId="0" borderId="0" xfId="6" applyAlignment="1">
      <alignment vertical="center"/>
    </xf>
    <xf numFmtId="0" fontId="27" fillId="4" borderId="18" xfId="0" applyFont="1" applyFill="1" applyBorder="1" applyAlignment="1">
      <alignment horizontal="center"/>
    </xf>
    <xf numFmtId="0" fontId="27" fillId="4" borderId="44" xfId="0" applyFont="1" applyFill="1" applyBorder="1" applyAlignment="1">
      <alignment horizontal="center"/>
    </xf>
    <xf numFmtId="0" fontId="27" fillId="4" borderId="4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81" fillId="0" borderId="0" xfId="0" applyNumberFormat="1" applyFont="1" applyAlignment="1">
      <alignment horizontal="center"/>
    </xf>
    <xf numFmtId="0" fontId="82" fillId="0" borderId="2" xfId="0" applyFont="1" applyBorder="1"/>
    <xf numFmtId="0" fontId="83" fillId="0" borderId="0" xfId="0" applyFont="1"/>
    <xf numFmtId="0" fontId="83" fillId="0" borderId="0" xfId="0" applyFont="1" applyAlignment="1">
      <alignment wrapText="1"/>
    </xf>
    <xf numFmtId="0" fontId="84" fillId="0" borderId="2" xfId="0" applyFont="1" applyBorder="1"/>
    <xf numFmtId="0" fontId="84" fillId="0" borderId="0" xfId="0" applyFont="1"/>
    <xf numFmtId="0" fontId="83" fillId="0" borderId="0" xfId="0" applyFont="1" applyAlignment="1">
      <alignment horizontal="left"/>
    </xf>
    <xf numFmtId="0" fontId="6" fillId="0" borderId="0" xfId="0" applyFont="1" applyAlignment="1"/>
  </cellXfs>
  <cellStyles count="7">
    <cellStyle name="Comma" xfId="1" builtinId="3"/>
    <cellStyle name="Comma0 - Style5" xfId="4" xr:uid="{1397E544-7A5D-4627-82CA-446E9A855C6D}"/>
    <cellStyle name="Currency" xfId="3" builtinId="4"/>
    <cellStyle name="Hyperlink" xfId="6" builtinId="8"/>
    <cellStyle name="Normal" xfId="0" builtinId="0"/>
    <cellStyle name="Percen - Style2" xfId="5" xr:uid="{A055BC95-278A-4F04-A738-FFE257F1BA8F}"/>
    <cellStyle name="Percent" xfId="2" builtinId="5"/>
  </cellStyles>
  <dxfs count="0"/>
  <tableStyles count="0" defaultTableStyle="TableStyleMedium9" defaultPivotStyle="PivotStyleLight16"/>
  <colors>
    <mruColors>
      <color rgb="FF0000CC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Types" Target="richData/rdRichValueTyp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371475</xdr:colOff>
      <xdr:row>61</xdr:row>
      <xdr:rowOff>66675</xdr:rowOff>
    </xdr:to>
    <xdr:pic>
      <xdr:nvPicPr>
        <xdr:cNvPr id="2" name="Picture 1" descr="Page 343, Valueline, Feb. 13, 2026, describing the economic state of the railroad industry.">
          <a:extLst>
            <a:ext uri="{FF2B5EF4-FFF2-40B4-BE49-F238E27FC236}">
              <a16:creationId xmlns:a16="http://schemas.microsoft.com/office/drawing/2014/main" id="{6C4EF9B0-4C17-0402-F421-EF3BD1BB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8905875" cy="1149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Team Kentucky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chmondfed.org/research/national_economy/cfo_survey" TargetMode="External"/><Relationship Id="rId2" Type="http://schemas.openxmlformats.org/officeDocument/2006/relationships/hyperlink" Target="http://pages.stern.nyu.edu/~adamodar/New_Home_Page/datacurrent.html" TargetMode="External"/><Relationship Id="rId1" Type="http://schemas.openxmlformats.org/officeDocument/2006/relationships/hyperlink" Target="https://www.bvresources.com/products/faqs/cost-of-capital-professional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;https:/papers.ssrn.com/sol3/papers.cfm?abstract_id=5260463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bo.gov/system/files/2025-01/60870-Outlook-2025.pdf" TargetMode="External"/><Relationship Id="rId13" Type="http://schemas.openxmlformats.org/officeDocument/2006/relationships/hyperlink" Target="ehttps://pages.stern.nyu.edu/~adamodar/pc/blog/S&amp;P500ValueJan2025.xlsx" TargetMode="External"/><Relationship Id="rId3" Type="http://schemas.openxmlformats.org/officeDocument/2006/relationships/hyperlink" Target="https://www.philadelphiafed.org/surveys-and-data/real-time-data-research/survey-of-professional-forecasters" TargetMode="External"/><Relationship Id="rId7" Type="http://schemas.openxmlformats.org/officeDocument/2006/relationships/hyperlink" Target="https://www.cbo.gov/system/files/2026-01/60870-Outlook-2026.pdf" TargetMode="External"/><Relationship Id="rId12" Type="http://schemas.openxmlformats.org/officeDocument/2006/relationships/hyperlink" Target="http://pages.stern.nyu.edu/~adamodar/" TargetMode="External"/><Relationship Id="rId2" Type="http://schemas.openxmlformats.org/officeDocument/2006/relationships/hyperlink" Target="https://www.philadelphiafed.org/research-and-data/real-time-center/livingston-survey" TargetMode="External"/><Relationship Id="rId1" Type="http://schemas.openxmlformats.org/officeDocument/2006/relationships/hyperlink" Target="http://www.federalreserve.gov/Releases/H15/Current/" TargetMode="External"/><Relationship Id="rId6" Type="http://schemas.openxmlformats.org/officeDocument/2006/relationships/hyperlink" Target="https://www.federalreserve.gov/monetarypolicy/files/fomcprojtabl20241218.pd" TargetMode="External"/><Relationship Id="rId11" Type="http://schemas.openxmlformats.org/officeDocument/2006/relationships/hyperlink" Target="http://pages.stern.nyu.edu/~adamodar/New_Home_Page/valquestions/stablegrowthrate.htm" TargetMode="External"/><Relationship Id="rId5" Type="http://schemas.openxmlformats.org/officeDocument/2006/relationships/hyperlink" Target="http://www.worldbank.org/en/publication/global-economic-prospects" TargetMode="External"/><Relationship Id="rId15" Type="http://schemas.openxmlformats.org/officeDocument/2006/relationships/printerSettings" Target="../printerSettings/printerSettings14.bin"/><Relationship Id="rId10" Type="http://schemas.openxmlformats.org/officeDocument/2006/relationships/hyperlink" Target="https://www.cbo.gov/data/budget-economic-data" TargetMode="External"/><Relationship Id="rId4" Type="http://schemas.openxmlformats.org/officeDocument/2006/relationships/hyperlink" Target="https://tradingeconomics.com/united-states/full-year-gdp-growth" TargetMode="External"/><Relationship Id="rId9" Type="http://schemas.openxmlformats.org/officeDocument/2006/relationships/hyperlink" Target="https://www.cbo.gov/publication/60870" TargetMode="External"/><Relationship Id="rId14" Type="http://schemas.openxmlformats.org/officeDocument/2006/relationships/hyperlink" Target="&#141;https:/home.treasury.gov/resource-center/data-chart-center/interest-rates/TextView?type=daily_treasury_yield_curve&amp;field_tdr_date_value=2026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37"/>
  <sheetViews>
    <sheetView tabSelected="1" view="pageBreakPreview" zoomScaleNormal="100" zoomScaleSheetLayoutView="100" workbookViewId="0">
      <selection activeCell="A7" sqref="A7:I7"/>
    </sheetView>
  </sheetViews>
  <sheetFormatPr defaultRowHeight="15"/>
  <cols>
    <col min="5" max="5" width="12.28515625" customWidth="1"/>
    <col min="9" max="9" width="16.42578125" customWidth="1"/>
  </cols>
  <sheetData>
    <row r="1" spans="1:13" ht="18.75">
      <c r="A1" s="468" t="s">
        <v>0</v>
      </c>
      <c r="B1" s="469"/>
      <c r="C1" s="469"/>
      <c r="D1" s="469"/>
      <c r="E1" s="469"/>
      <c r="F1" s="469"/>
      <c r="G1" s="469"/>
      <c r="H1" s="469"/>
      <c r="I1" s="469"/>
    </row>
    <row r="5" spans="1:13" ht="27">
      <c r="E5" s="470" t="s">
        <v>0</v>
      </c>
      <c r="F5" s="471"/>
      <c r="G5" s="471"/>
      <c r="H5" s="471"/>
      <c r="I5" s="471"/>
      <c r="J5" s="471"/>
      <c r="K5" s="471"/>
      <c r="L5" s="471"/>
      <c r="M5" s="471"/>
    </row>
    <row r="7" spans="1:13" ht="27">
      <c r="A7" s="472" t="s">
        <v>30</v>
      </c>
      <c r="B7" s="473"/>
      <c r="C7" s="473"/>
      <c r="D7" s="473"/>
      <c r="E7" s="473"/>
      <c r="F7" s="473"/>
      <c r="G7" s="473"/>
      <c r="H7" s="473"/>
      <c r="I7" s="473"/>
    </row>
    <row r="8" spans="1:13" ht="27">
      <c r="A8" s="4"/>
      <c r="B8" s="5"/>
      <c r="C8" s="5"/>
      <c r="D8" s="5"/>
      <c r="E8" s="4" t="s">
        <v>0</v>
      </c>
      <c r="F8" s="5"/>
      <c r="G8" s="5"/>
      <c r="H8" s="5"/>
      <c r="I8" s="5"/>
      <c r="J8" s="5"/>
      <c r="K8" s="5"/>
      <c r="L8" s="5"/>
      <c r="M8" s="5"/>
    </row>
    <row r="9" spans="1:13" ht="27">
      <c r="A9" s="481" t="s">
        <v>456</v>
      </c>
      <c r="B9" s="481"/>
      <c r="C9" s="481"/>
      <c r="D9" s="481"/>
      <c r="E9" s="481"/>
      <c r="F9" s="481"/>
      <c r="G9" s="481"/>
      <c r="H9" s="481"/>
      <c r="I9" s="481"/>
    </row>
    <row r="15" spans="1:13">
      <c r="A15" s="465" t="s">
        <v>0</v>
      </c>
      <c r="B15" s="466"/>
      <c r="C15" s="466"/>
      <c r="D15" s="466"/>
      <c r="E15" s="466"/>
      <c r="F15" s="466"/>
      <c r="G15" s="466"/>
      <c r="H15" s="466"/>
      <c r="I15" s="466"/>
    </row>
    <row r="16" spans="1:13" ht="33.75">
      <c r="A16" s="463" t="str">
        <f>+'S&amp;D'!A12</f>
        <v>Railroad Carriers</v>
      </c>
      <c r="B16" s="464"/>
      <c r="C16" s="464"/>
      <c r="D16" s="464"/>
      <c r="E16" s="464"/>
      <c r="F16" s="464"/>
      <c r="G16" s="464"/>
      <c r="H16" s="464"/>
      <c r="I16" s="464"/>
    </row>
    <row r="17" spans="1:9">
      <c r="A17" s="465" t="s">
        <v>0</v>
      </c>
      <c r="B17" s="466"/>
      <c r="C17" s="466"/>
      <c r="D17" s="466"/>
      <c r="E17" s="466"/>
      <c r="F17" s="466"/>
      <c r="G17" s="466"/>
      <c r="H17" s="466"/>
      <c r="I17" s="466"/>
    </row>
    <row r="18" spans="1:9">
      <c r="A18" s="6"/>
      <c r="B18" s="7"/>
      <c r="C18" s="7"/>
      <c r="D18" s="7"/>
      <c r="E18" s="7"/>
      <c r="F18" s="7"/>
      <c r="G18" s="7"/>
      <c r="H18" s="7"/>
      <c r="I18" s="7"/>
    </row>
    <row r="19" spans="1:9">
      <c r="A19" s="6"/>
      <c r="B19" s="7"/>
      <c r="C19" s="7"/>
      <c r="D19" s="7"/>
      <c r="E19" s="7"/>
      <c r="F19" s="7"/>
      <c r="G19" s="7"/>
      <c r="H19" s="7"/>
      <c r="I19" s="7"/>
    </row>
    <row r="20" spans="1:9">
      <c r="A20" s="6"/>
      <c r="B20" s="7"/>
      <c r="C20" s="7"/>
      <c r="D20" s="7"/>
      <c r="E20" s="7"/>
      <c r="F20" s="7"/>
      <c r="G20" s="7"/>
      <c r="H20" s="7"/>
      <c r="I20" s="7"/>
    </row>
    <row r="21" spans="1:9">
      <c r="A21" s="6"/>
      <c r="B21" s="7"/>
      <c r="C21" s="7"/>
      <c r="D21" s="7"/>
      <c r="E21" s="7"/>
      <c r="F21" s="7"/>
      <c r="G21" s="7"/>
      <c r="H21" s="7"/>
      <c r="I21" s="7"/>
    </row>
    <row r="22" spans="1:9">
      <c r="A22" s="6"/>
      <c r="B22" s="7"/>
      <c r="C22" s="7"/>
      <c r="D22" s="7"/>
      <c r="E22" s="7"/>
      <c r="F22" s="7"/>
      <c r="G22" s="7"/>
      <c r="H22" s="7"/>
      <c r="I22" s="7"/>
    </row>
    <row r="23" spans="1:9">
      <c r="A23" s="6"/>
      <c r="B23" s="7"/>
      <c r="C23" s="7"/>
      <c r="D23" s="7"/>
      <c r="E23" s="7"/>
      <c r="F23" s="7"/>
      <c r="G23" s="7"/>
      <c r="H23" s="7"/>
      <c r="I23" s="7"/>
    </row>
    <row r="24" spans="1:9">
      <c r="A24" s="6"/>
      <c r="B24" s="7"/>
      <c r="C24" s="7"/>
      <c r="D24" s="7"/>
      <c r="E24" s="7"/>
      <c r="F24" s="7"/>
      <c r="G24" s="7"/>
      <c r="H24" s="7"/>
      <c r="I24" s="7"/>
    </row>
    <row r="25" spans="1:9">
      <c r="A25" s="6"/>
      <c r="B25" s="7"/>
      <c r="C25" s="7"/>
      <c r="D25" s="7"/>
      <c r="E25" s="7"/>
      <c r="F25" s="7"/>
      <c r="G25" s="7"/>
      <c r="H25" s="7"/>
      <c r="I25" s="7"/>
    </row>
    <row r="26" spans="1:9">
      <c r="A26" s="6"/>
      <c r="B26" s="7"/>
      <c r="C26" s="7"/>
      <c r="D26" s="7"/>
      <c r="E26" s="7"/>
      <c r="F26" s="7"/>
      <c r="G26" s="7"/>
      <c r="H26" s="7"/>
      <c r="I26" s="7"/>
    </row>
    <row r="27" spans="1:9">
      <c r="A27" s="6"/>
      <c r="B27" s="7"/>
      <c r="C27" s="7"/>
      <c r="D27" s="7"/>
      <c r="E27" s="7"/>
      <c r="F27" s="7"/>
      <c r="G27" s="7"/>
      <c r="H27" s="7"/>
      <c r="I27" s="7"/>
    </row>
    <row r="28" spans="1:9">
      <c r="A28" s="6"/>
      <c r="B28" s="7"/>
      <c r="C28" s="7"/>
      <c r="D28" s="7"/>
      <c r="E28" s="7"/>
      <c r="F28" s="7"/>
      <c r="G28" s="7"/>
      <c r="H28" s="7"/>
      <c r="I28" s="7"/>
    </row>
    <row r="29" spans="1:9">
      <c r="A29" s="465" t="s">
        <v>0</v>
      </c>
      <c r="B29" s="466"/>
      <c r="C29" s="466"/>
      <c r="D29" s="466"/>
      <c r="E29" s="466"/>
      <c r="F29" s="466"/>
      <c r="G29" s="466"/>
      <c r="H29" s="466"/>
      <c r="I29" s="466"/>
    </row>
    <row r="34" spans="1:9">
      <c r="A34" s="467" t="e" vm="1">
        <v>#VALUE!</v>
      </c>
      <c r="B34" s="467"/>
      <c r="C34" s="467"/>
      <c r="D34" s="467"/>
      <c r="E34" s="467"/>
      <c r="F34" s="467"/>
      <c r="G34" s="467"/>
      <c r="H34" s="467"/>
      <c r="I34" s="467"/>
    </row>
    <row r="35" spans="1:9">
      <c r="A35" s="467"/>
      <c r="B35" s="467"/>
      <c r="C35" s="467"/>
      <c r="D35" s="467"/>
      <c r="E35" s="467"/>
      <c r="F35" s="467"/>
      <c r="G35" s="467"/>
      <c r="H35" s="467"/>
      <c r="I35" s="467"/>
    </row>
    <row r="36" spans="1:9">
      <c r="A36" s="467"/>
      <c r="B36" s="467"/>
      <c r="C36" s="467"/>
      <c r="D36" s="467"/>
      <c r="E36" s="467"/>
      <c r="F36" s="467"/>
      <c r="G36" s="467"/>
      <c r="H36" s="467"/>
      <c r="I36" s="467"/>
    </row>
    <row r="37" spans="1:9">
      <c r="A37" s="467"/>
      <c r="B37" s="467"/>
      <c r="C37" s="467"/>
      <c r="D37" s="467"/>
      <c r="E37" s="467"/>
      <c r="F37" s="467"/>
      <c r="G37" s="467"/>
      <c r="H37" s="467"/>
      <c r="I37" s="467"/>
    </row>
  </sheetData>
  <mergeCells count="8">
    <mergeCell ref="A16:I16"/>
    <mergeCell ref="A17:I17"/>
    <mergeCell ref="A29:I29"/>
    <mergeCell ref="A34:I37"/>
    <mergeCell ref="A1:I1"/>
    <mergeCell ref="E5:M5"/>
    <mergeCell ref="A7:I7"/>
    <mergeCell ref="A15:I15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31"/>
  <sheetViews>
    <sheetView view="pageBreakPreview" zoomScale="80" zoomScaleNormal="80" zoomScaleSheetLayoutView="80" workbookViewId="0">
      <selection activeCell="F24" sqref="F24"/>
    </sheetView>
  </sheetViews>
  <sheetFormatPr defaultRowHeight="15"/>
  <cols>
    <col min="1" max="1" width="22.28515625" customWidth="1"/>
    <col min="2" max="2" width="39.7109375" customWidth="1"/>
    <col min="3" max="3" width="16.85546875" customWidth="1"/>
    <col min="4" max="4" width="35.28515625" customWidth="1"/>
    <col min="5" max="5" width="18" customWidth="1"/>
    <col min="6" max="6" width="20.85546875" bestFit="1" customWidth="1"/>
    <col min="7" max="7" width="22" customWidth="1"/>
    <col min="8" max="8" width="23.7109375" customWidth="1"/>
  </cols>
  <sheetData>
    <row r="1" spans="1:11" ht="26.25">
      <c r="A1" s="19" t="s">
        <v>1</v>
      </c>
      <c r="C1" s="8"/>
      <c r="D1" s="8"/>
      <c r="E1" s="8"/>
      <c r="F1" s="8"/>
      <c r="G1" s="8"/>
      <c r="H1" s="8"/>
      <c r="I1" s="8"/>
      <c r="J1" s="8"/>
      <c r="K1" s="8"/>
    </row>
    <row r="2" spans="1:11" ht="17.25">
      <c r="A2" s="20" t="s">
        <v>9</v>
      </c>
      <c r="C2" s="8"/>
      <c r="D2" s="8"/>
      <c r="E2" s="8"/>
      <c r="F2" s="8"/>
      <c r="G2" s="8"/>
      <c r="H2" s="8"/>
      <c r="I2" s="8"/>
      <c r="J2" s="8"/>
      <c r="K2" s="8"/>
    </row>
    <row r="3" spans="1:11" ht="17.25" customHeight="1">
      <c r="A3" s="21" t="s">
        <v>457</v>
      </c>
      <c r="C3" s="8"/>
      <c r="D3" s="8"/>
      <c r="E3" s="8"/>
      <c r="F3" s="8"/>
      <c r="G3" s="8"/>
      <c r="H3" s="8"/>
      <c r="I3" s="8"/>
      <c r="J3" s="8"/>
      <c r="K3" s="8"/>
    </row>
    <row r="4" spans="1:11" ht="17.25" customHeight="1">
      <c r="B4" s="21"/>
      <c r="C4" s="8"/>
      <c r="D4" s="8"/>
      <c r="E4" s="8"/>
      <c r="F4" s="8"/>
      <c r="G4" s="8"/>
      <c r="H4" s="8"/>
      <c r="I4" s="8"/>
      <c r="J4" s="8"/>
      <c r="K4" s="8"/>
    </row>
    <row r="5" spans="1:11" ht="17.25" customHeight="1">
      <c r="B5" s="126"/>
      <c r="C5" s="8"/>
      <c r="D5" s="8"/>
      <c r="E5" s="8"/>
      <c r="F5" s="8"/>
      <c r="G5" s="8"/>
      <c r="H5" s="8"/>
      <c r="I5" s="8"/>
      <c r="J5" s="8"/>
      <c r="K5" s="8"/>
    </row>
    <row r="6" spans="1:11" ht="17.25" customHeight="1">
      <c r="B6" s="126"/>
      <c r="C6" s="8"/>
      <c r="D6" s="8"/>
      <c r="E6" s="8"/>
      <c r="F6" s="8"/>
      <c r="G6" s="8"/>
      <c r="H6" s="8"/>
      <c r="I6" s="8"/>
      <c r="J6" s="8"/>
      <c r="K6" s="8"/>
    </row>
    <row r="7" spans="1:11" ht="17.25" customHeight="1">
      <c r="B7" s="126"/>
      <c r="C7" s="8"/>
      <c r="D7" s="8"/>
      <c r="E7" s="8"/>
      <c r="F7" s="8"/>
      <c r="G7" s="8"/>
      <c r="H7" s="8"/>
      <c r="I7" s="8"/>
      <c r="J7" s="8"/>
      <c r="K7" s="8"/>
    </row>
    <row r="8" spans="1:11" ht="16.5">
      <c r="B8" s="21"/>
      <c r="C8" s="8"/>
      <c r="D8" s="8"/>
      <c r="E8" s="8"/>
      <c r="F8" s="8"/>
      <c r="G8" s="8"/>
      <c r="H8" s="8"/>
      <c r="I8" s="8"/>
      <c r="J8" s="8"/>
      <c r="K8" s="8"/>
    </row>
    <row r="9" spans="1:11" ht="20.25">
      <c r="B9" s="8"/>
      <c r="C9" s="8"/>
      <c r="D9" s="71" t="s">
        <v>0</v>
      </c>
      <c r="E9" s="8"/>
      <c r="F9" s="8"/>
      <c r="G9" s="8"/>
      <c r="H9" s="8"/>
      <c r="I9" s="8"/>
      <c r="J9" s="8"/>
      <c r="K9" s="8"/>
    </row>
    <row r="10" spans="1:11" ht="20.25">
      <c r="B10" s="8"/>
      <c r="C10" s="8"/>
      <c r="D10" s="71" t="s">
        <v>64</v>
      </c>
      <c r="E10" s="8"/>
      <c r="F10" s="8"/>
      <c r="G10" s="8"/>
      <c r="H10" s="8"/>
      <c r="I10" s="8"/>
      <c r="J10" s="8"/>
      <c r="K10" s="8"/>
    </row>
    <row r="11" spans="1:11" ht="16.5"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16.5"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16.5">
      <c r="B13" s="8"/>
      <c r="C13" s="8"/>
      <c r="D13" s="8"/>
      <c r="E13" s="22"/>
      <c r="F13" s="8"/>
      <c r="G13" s="8"/>
      <c r="H13" s="8"/>
      <c r="I13" s="8"/>
      <c r="J13" s="8"/>
      <c r="K13" s="8"/>
    </row>
    <row r="14" spans="1:11" ht="16.5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17.25" thickBot="1">
      <c r="B15" s="8"/>
      <c r="C15" s="24"/>
      <c r="D15" s="24"/>
      <c r="E15" s="24"/>
      <c r="F15" s="8"/>
      <c r="G15" s="8"/>
      <c r="H15" s="8"/>
      <c r="I15" s="8"/>
      <c r="J15" s="8"/>
      <c r="K15" s="8"/>
    </row>
    <row r="16" spans="1:11" ht="26.25">
      <c r="B16" s="8"/>
      <c r="C16" s="8"/>
      <c r="D16" s="26" t="str">
        <f>+'S&amp;D'!A12</f>
        <v>Railroad Carriers</v>
      </c>
      <c r="E16" s="8"/>
      <c r="F16" s="8"/>
      <c r="G16" s="8"/>
      <c r="H16" s="8"/>
      <c r="I16" s="8"/>
      <c r="J16" s="8"/>
      <c r="K16" s="8"/>
    </row>
    <row r="17" spans="2:11" ht="17.25" thickBot="1">
      <c r="B17" s="8"/>
      <c r="C17" s="24"/>
      <c r="D17" s="31" t="s">
        <v>0</v>
      </c>
      <c r="E17" s="24"/>
      <c r="F17" s="8"/>
      <c r="G17" s="8"/>
      <c r="H17" s="8"/>
      <c r="I17" s="8"/>
      <c r="J17" s="8"/>
      <c r="K17" s="8"/>
    </row>
    <row r="18" spans="2:11" ht="17.25" thickBot="1">
      <c r="B18" s="24"/>
      <c r="C18" s="24"/>
      <c r="D18" s="31" t="s">
        <v>0</v>
      </c>
      <c r="E18" s="24"/>
      <c r="F18" s="24"/>
      <c r="G18" s="24"/>
      <c r="H18" s="8"/>
      <c r="I18" s="8"/>
      <c r="J18" s="8"/>
      <c r="K18" s="8"/>
    </row>
    <row r="19" spans="2:11" ht="16.5">
      <c r="B19" s="29" t="s">
        <v>31</v>
      </c>
      <c r="C19" s="29" t="s">
        <v>32</v>
      </c>
      <c r="D19" s="29" t="s">
        <v>33</v>
      </c>
      <c r="E19" s="29" t="s">
        <v>68</v>
      </c>
      <c r="F19" s="29" t="s">
        <v>33</v>
      </c>
      <c r="G19" s="29" t="s">
        <v>34</v>
      </c>
      <c r="H19" s="8"/>
      <c r="I19" s="8"/>
      <c r="J19" s="8"/>
      <c r="K19" s="8"/>
    </row>
    <row r="20" spans="2:11" ht="17.25" thickBot="1">
      <c r="B20" s="31" t="s">
        <v>32</v>
      </c>
      <c r="C20" s="31" t="s">
        <v>35</v>
      </c>
      <c r="D20" s="31" t="s">
        <v>36</v>
      </c>
      <c r="E20" s="31" t="s">
        <v>23</v>
      </c>
      <c r="F20" s="31" t="s">
        <v>37</v>
      </c>
      <c r="G20" s="31" t="s">
        <v>38</v>
      </c>
      <c r="H20" s="8"/>
      <c r="I20" s="8"/>
      <c r="J20" s="8"/>
      <c r="K20" s="8"/>
    </row>
    <row r="21" spans="2:11" ht="16.5">
      <c r="B21" s="33" t="s">
        <v>0</v>
      </c>
      <c r="C21" s="33" t="s">
        <v>0</v>
      </c>
      <c r="D21" s="33" t="s">
        <v>0</v>
      </c>
      <c r="E21" s="33" t="s">
        <v>0</v>
      </c>
      <c r="F21" s="33" t="s">
        <v>0</v>
      </c>
      <c r="G21" s="33" t="s">
        <v>0</v>
      </c>
      <c r="H21" s="8"/>
      <c r="I21" s="8"/>
      <c r="J21" s="8"/>
      <c r="K21" s="8"/>
    </row>
    <row r="22" spans="2:11" ht="16.5">
      <c r="B22" s="29"/>
      <c r="C22" s="29"/>
      <c r="D22" s="29"/>
      <c r="E22" s="29"/>
      <c r="F22" s="29"/>
      <c r="G22" s="29"/>
      <c r="H22" s="8"/>
      <c r="I22" s="8"/>
      <c r="J22" s="8"/>
      <c r="K22" s="8"/>
    </row>
    <row r="23" spans="2:11" ht="17.25">
      <c r="B23" s="83" t="s">
        <v>39</v>
      </c>
      <c r="C23" s="119">
        <f>'S&amp;D'!J46</f>
        <v>0.82</v>
      </c>
      <c r="D23" s="119">
        <f>+'Indicated Yield Equity Rate '!D52</f>
        <v>9.69E-2</v>
      </c>
      <c r="E23" s="96"/>
      <c r="F23" s="119">
        <f>+D23</f>
        <v>9.69E-2</v>
      </c>
      <c r="G23" s="120">
        <f>+F23*C23</f>
        <v>7.9458000000000001E-2</v>
      </c>
      <c r="H23" s="8"/>
      <c r="I23" s="8"/>
      <c r="J23" s="8"/>
      <c r="K23" s="8"/>
    </row>
    <row r="24" spans="2:11" ht="17.25">
      <c r="B24" s="83" t="s">
        <v>0</v>
      </c>
      <c r="C24" s="96" t="s">
        <v>0</v>
      </c>
      <c r="D24" s="96" t="s">
        <v>0</v>
      </c>
      <c r="E24" s="96"/>
      <c r="F24" s="474" t="s">
        <v>0</v>
      </c>
      <c r="G24" s="109" t="s">
        <v>0</v>
      </c>
      <c r="H24" s="8"/>
      <c r="I24" s="8"/>
      <c r="J24" s="8"/>
      <c r="K24" s="8"/>
    </row>
    <row r="25" spans="2:11" ht="17.25">
      <c r="B25" s="83" t="s">
        <v>41</v>
      </c>
      <c r="C25" s="119">
        <f>'S&amp;D'!K46</f>
        <v>0.18</v>
      </c>
      <c r="D25" s="119">
        <f>+Debt!J27</f>
        <v>5.74E-2</v>
      </c>
      <c r="E25" s="119">
        <v>0.26</v>
      </c>
      <c r="F25" s="119">
        <f>+D25*(1-E25)</f>
        <v>4.2476E-2</v>
      </c>
      <c r="G25" s="120">
        <f>+C25*F25</f>
        <v>7.6456799999999993E-3</v>
      </c>
      <c r="H25" s="8"/>
      <c r="I25" s="8"/>
      <c r="J25" s="8"/>
      <c r="K25" s="8"/>
    </row>
    <row r="26" spans="2:11" ht="18" thickBot="1">
      <c r="B26" s="89" t="s">
        <v>0</v>
      </c>
      <c r="C26" s="89" t="s">
        <v>0</v>
      </c>
      <c r="D26" s="89" t="s">
        <v>0</v>
      </c>
      <c r="E26" s="89" t="s">
        <v>0</v>
      </c>
      <c r="F26" s="121" t="s">
        <v>0</v>
      </c>
      <c r="G26" s="122" t="s">
        <v>0</v>
      </c>
      <c r="H26" s="8"/>
      <c r="I26" s="8"/>
      <c r="J26" s="8"/>
      <c r="K26" s="8"/>
    </row>
    <row r="27" spans="2:11" ht="17.25">
      <c r="B27" s="83" t="s">
        <v>71</v>
      </c>
      <c r="C27" s="123">
        <f>+C23+C25</f>
        <v>1</v>
      </c>
      <c r="D27" s="83" t="s">
        <v>0</v>
      </c>
      <c r="E27" s="83" t="s">
        <v>0</v>
      </c>
      <c r="F27" s="124" t="s">
        <v>0</v>
      </c>
      <c r="G27" s="120">
        <f>+G23+G25</f>
        <v>8.7103680000000003E-2</v>
      </c>
      <c r="H27" s="8"/>
      <c r="I27" s="8"/>
      <c r="J27" s="8"/>
      <c r="K27" s="8"/>
    </row>
    <row r="28" spans="2:11" ht="18" thickBot="1">
      <c r="B28" s="56"/>
      <c r="C28" s="56"/>
      <c r="D28" s="56"/>
      <c r="E28" s="56"/>
      <c r="F28" s="56"/>
      <c r="G28" s="125"/>
      <c r="H28" s="8"/>
      <c r="I28" s="8"/>
      <c r="J28" s="8"/>
      <c r="K28" s="8"/>
    </row>
    <row r="29" spans="2:11" ht="18" thickBot="1">
      <c r="B29" s="8"/>
      <c r="C29" s="8"/>
      <c r="D29" s="8"/>
      <c r="E29" s="8"/>
      <c r="F29" s="168" t="s">
        <v>74</v>
      </c>
      <c r="G29" s="263">
        <v>8.7099999999999997E-2</v>
      </c>
      <c r="H29" s="8"/>
      <c r="I29" s="8"/>
      <c r="J29" s="8"/>
      <c r="K29" s="8"/>
    </row>
    <row r="30" spans="2:11" ht="16.5">
      <c r="B30" s="8"/>
      <c r="C30" s="8"/>
      <c r="D30" s="8"/>
      <c r="E30" s="8"/>
      <c r="F30" s="8"/>
      <c r="G30" s="8" t="s">
        <v>381</v>
      </c>
      <c r="H30" s="8"/>
      <c r="I30" s="8"/>
      <c r="J30" s="8"/>
      <c r="K30" s="8"/>
    </row>
    <row r="31" spans="2:11" ht="16.5"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pageMargins left="0.25" right="0.25" top="0.75" bottom="0.75" header="0.3" footer="0.3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631F-B284-4F75-B05C-C409AB53D71E}">
  <sheetPr>
    <tabColor rgb="FF92D050"/>
    <pageSetUpPr fitToPage="1"/>
  </sheetPr>
  <dimension ref="A1:K64"/>
  <sheetViews>
    <sheetView view="pageBreakPreview" topLeftCell="A44" zoomScale="80" zoomScaleNormal="80" zoomScaleSheetLayoutView="80" workbookViewId="0">
      <selection activeCell="F57" activeCellId="1" sqref="F24 F57"/>
    </sheetView>
  </sheetViews>
  <sheetFormatPr defaultRowHeight="15"/>
  <cols>
    <col min="1" max="1" width="17.28515625" customWidth="1"/>
    <col min="2" max="2" width="31.7109375" customWidth="1"/>
    <col min="3" max="3" width="16.5703125" customWidth="1"/>
    <col min="4" max="4" width="35.28515625" customWidth="1"/>
    <col min="5" max="5" width="14.85546875" customWidth="1"/>
    <col min="6" max="6" width="25.85546875" customWidth="1"/>
    <col min="7" max="7" width="24.140625" customWidth="1"/>
    <col min="8" max="8" width="17.7109375" customWidth="1"/>
  </cols>
  <sheetData>
    <row r="1" spans="1:11" ht="26.25">
      <c r="A1" s="19" t="s">
        <v>1</v>
      </c>
      <c r="C1" s="8"/>
      <c r="D1" s="8"/>
      <c r="E1" s="8"/>
      <c r="F1" s="8"/>
      <c r="G1" s="8"/>
      <c r="H1" s="8"/>
      <c r="I1" s="8"/>
      <c r="J1" s="8"/>
      <c r="K1" s="8"/>
    </row>
    <row r="2" spans="1:11" ht="17.25">
      <c r="A2" s="20" t="s">
        <v>9</v>
      </c>
      <c r="C2" s="8"/>
      <c r="D2" s="8"/>
      <c r="E2" s="8"/>
      <c r="F2" s="8"/>
      <c r="G2" s="8"/>
      <c r="H2" s="8"/>
      <c r="I2" s="8"/>
      <c r="J2" s="8"/>
      <c r="K2" s="8"/>
    </row>
    <row r="3" spans="1:11" ht="16.5">
      <c r="A3" s="21" t="s">
        <v>457</v>
      </c>
      <c r="C3" s="8"/>
      <c r="D3" s="8"/>
      <c r="E3" s="8"/>
      <c r="F3" s="8"/>
      <c r="G3" s="8"/>
      <c r="H3" s="8"/>
      <c r="I3" s="8"/>
      <c r="J3" s="8"/>
      <c r="K3" s="8"/>
    </row>
    <row r="4" spans="1:11" ht="16.5">
      <c r="B4" s="21"/>
      <c r="C4" s="8"/>
      <c r="D4" s="8"/>
      <c r="E4" s="8"/>
      <c r="F4" s="8"/>
      <c r="G4" s="8"/>
      <c r="H4" s="8"/>
      <c r="I4" s="8"/>
      <c r="J4" s="8"/>
      <c r="K4" s="8"/>
    </row>
    <row r="5" spans="1:11" ht="16.5">
      <c r="B5" s="21"/>
      <c r="C5" s="8"/>
      <c r="D5" s="8"/>
      <c r="E5" s="8"/>
      <c r="F5" s="8"/>
      <c r="G5" s="8"/>
      <c r="H5" s="8"/>
      <c r="I5" s="8"/>
      <c r="J5" s="8"/>
      <c r="K5" s="8"/>
    </row>
    <row r="6" spans="1:11" ht="16.5">
      <c r="B6" s="21"/>
      <c r="C6" s="8"/>
      <c r="D6" s="8"/>
      <c r="E6" s="8"/>
      <c r="F6" s="8"/>
      <c r="G6" s="8"/>
      <c r="H6" s="8"/>
      <c r="I6" s="8"/>
      <c r="J6" s="8"/>
      <c r="K6" s="8"/>
    </row>
    <row r="7" spans="1:11" ht="16.5">
      <c r="B7" s="21"/>
      <c r="C7" s="8"/>
      <c r="D7" s="8"/>
      <c r="E7" s="8"/>
      <c r="F7" s="8"/>
      <c r="G7" s="8"/>
      <c r="H7" s="8"/>
      <c r="I7" s="8"/>
      <c r="J7" s="8"/>
      <c r="K7" s="8"/>
    </row>
    <row r="8" spans="1:11" ht="16.5">
      <c r="B8" s="21"/>
      <c r="C8" s="8"/>
      <c r="D8" s="8"/>
      <c r="E8" s="8"/>
      <c r="F8" s="8"/>
      <c r="G8" s="8"/>
      <c r="H8" s="8"/>
      <c r="I8" s="8"/>
      <c r="J8" s="8"/>
      <c r="K8" s="8"/>
    </row>
    <row r="9" spans="1:11" ht="16.5">
      <c r="B9" s="21"/>
      <c r="C9" s="8"/>
      <c r="D9" s="8"/>
      <c r="E9" s="8"/>
      <c r="F9" s="8"/>
      <c r="G9" s="8"/>
      <c r="H9" s="8"/>
      <c r="I9" s="8"/>
      <c r="J9" s="8"/>
      <c r="K9" s="8"/>
    </row>
    <row r="10" spans="1:11" ht="20.25">
      <c r="B10" s="8"/>
      <c r="C10" s="8"/>
      <c r="D10" s="71" t="s">
        <v>0</v>
      </c>
      <c r="E10" s="8"/>
      <c r="F10" s="8"/>
      <c r="G10" s="8"/>
      <c r="H10" s="8"/>
      <c r="I10" s="8"/>
      <c r="J10" s="8"/>
      <c r="K10" s="8"/>
    </row>
    <row r="11" spans="1:11" ht="20.25">
      <c r="B11" s="8"/>
      <c r="C11" s="8"/>
      <c r="D11" s="71" t="s">
        <v>63</v>
      </c>
      <c r="E11" s="8"/>
      <c r="F11" s="8"/>
      <c r="G11" s="8"/>
      <c r="H11" s="8"/>
      <c r="I11" s="8"/>
      <c r="J11" s="8"/>
      <c r="K11" s="8"/>
    </row>
    <row r="12" spans="1:11" ht="16.5"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16.5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17.25" thickBot="1">
      <c r="B14" s="8"/>
      <c r="C14" s="24"/>
      <c r="D14" s="24"/>
      <c r="E14" s="24"/>
      <c r="F14" s="8"/>
      <c r="G14" s="8"/>
      <c r="H14" s="8"/>
      <c r="I14" s="8"/>
      <c r="J14" s="8"/>
      <c r="K14" s="8"/>
    </row>
    <row r="15" spans="1:11" ht="26.25">
      <c r="B15" s="8"/>
      <c r="C15" s="8"/>
      <c r="D15" s="26" t="str">
        <f>+'S&amp;D'!A12</f>
        <v>Railroad Carriers</v>
      </c>
      <c r="E15" s="8"/>
      <c r="F15" s="8"/>
      <c r="G15" s="8"/>
      <c r="H15" s="8"/>
      <c r="I15" s="8"/>
      <c r="J15" s="8"/>
      <c r="K15" s="8"/>
    </row>
    <row r="16" spans="1:11" ht="21" thickBot="1">
      <c r="B16" s="8"/>
      <c r="C16" s="24"/>
      <c r="D16" s="118" t="s">
        <v>70</v>
      </c>
      <c r="E16" s="24"/>
      <c r="F16" s="8"/>
      <c r="G16" s="8"/>
      <c r="H16" s="8"/>
      <c r="I16" s="8"/>
      <c r="J16" s="8"/>
      <c r="K16" s="8"/>
    </row>
    <row r="17" spans="2:11" ht="16.5">
      <c r="H17" s="8"/>
      <c r="I17" s="8"/>
      <c r="J17" s="8"/>
      <c r="K17" s="8"/>
    </row>
    <row r="18" spans="2:11" ht="17.25" thickBot="1">
      <c r="B18" s="24"/>
      <c r="C18" s="24"/>
      <c r="D18" s="31" t="s">
        <v>0</v>
      </c>
      <c r="E18" s="24"/>
      <c r="F18" s="24"/>
      <c r="G18" s="24"/>
      <c r="H18" s="8"/>
      <c r="I18" s="8"/>
      <c r="J18" s="8"/>
      <c r="K18" s="8"/>
    </row>
    <row r="19" spans="2:11" ht="16.5">
      <c r="B19" s="29" t="s">
        <v>31</v>
      </c>
      <c r="C19" s="29" t="s">
        <v>32</v>
      </c>
      <c r="D19" s="29" t="s">
        <v>67</v>
      </c>
      <c r="E19" s="29" t="s">
        <v>68</v>
      </c>
      <c r="F19" s="29" t="s">
        <v>66</v>
      </c>
      <c r="G19" s="29" t="s">
        <v>34</v>
      </c>
      <c r="H19" s="8"/>
      <c r="I19" s="8"/>
      <c r="J19" s="8"/>
      <c r="K19" s="8"/>
    </row>
    <row r="20" spans="2:11" ht="17.25" thickBot="1">
      <c r="B20" s="31" t="s">
        <v>32</v>
      </c>
      <c r="C20" s="31" t="s">
        <v>35</v>
      </c>
      <c r="D20" s="31" t="s">
        <v>36</v>
      </c>
      <c r="E20" s="31" t="s">
        <v>23</v>
      </c>
      <c r="F20" s="31" t="s">
        <v>37</v>
      </c>
      <c r="G20" s="31" t="s">
        <v>69</v>
      </c>
      <c r="H20" s="8"/>
      <c r="I20" s="8"/>
      <c r="J20" s="8"/>
      <c r="K20" s="8"/>
    </row>
    <row r="21" spans="2:11" ht="16.5">
      <c r="B21" s="33" t="s">
        <v>0</v>
      </c>
      <c r="C21" s="33" t="s">
        <v>0</v>
      </c>
      <c r="D21" s="33" t="s">
        <v>0</v>
      </c>
      <c r="E21" s="33" t="s">
        <v>0</v>
      </c>
      <c r="F21" s="33" t="s">
        <v>0</v>
      </c>
      <c r="G21" s="33" t="s">
        <v>0</v>
      </c>
      <c r="H21" s="8"/>
      <c r="I21" s="8"/>
      <c r="J21" s="8"/>
      <c r="K21" s="8"/>
    </row>
    <row r="22" spans="2:11" ht="16.5">
      <c r="B22" s="29"/>
      <c r="C22" s="29"/>
      <c r="D22" s="29"/>
      <c r="E22" s="29"/>
      <c r="F22" s="29"/>
      <c r="G22" s="29"/>
      <c r="H22" s="8"/>
      <c r="I22" s="8"/>
      <c r="J22" s="8"/>
      <c r="K22" s="8"/>
    </row>
    <row r="23" spans="2:11" ht="17.25">
      <c r="B23" s="83" t="s">
        <v>39</v>
      </c>
      <c r="C23" s="119">
        <f>'S&amp;D'!J46</f>
        <v>0.82</v>
      </c>
      <c r="D23" s="119">
        <f>+'Direct NOPAT'!J31</f>
        <v>5.5099999999999996E-2</v>
      </c>
      <c r="E23" s="96" t="s">
        <v>40</v>
      </c>
      <c r="F23" s="119">
        <f>+D23</f>
        <v>5.5099999999999996E-2</v>
      </c>
      <c r="G23" s="120">
        <f>+F23*C23</f>
        <v>4.5181999999999993E-2</v>
      </c>
      <c r="H23" s="8"/>
      <c r="I23" s="8"/>
      <c r="J23" s="8"/>
      <c r="K23" s="8"/>
    </row>
    <row r="24" spans="2:11" ht="17.25">
      <c r="B24" s="83" t="s">
        <v>0</v>
      </c>
      <c r="C24" s="96" t="s">
        <v>0</v>
      </c>
      <c r="D24" s="96" t="s">
        <v>0</v>
      </c>
      <c r="E24" s="96" t="s">
        <v>0</v>
      </c>
      <c r="F24" s="474" t="s">
        <v>0</v>
      </c>
      <c r="G24" s="109" t="s">
        <v>0</v>
      </c>
      <c r="H24" s="8"/>
      <c r="I24" s="8"/>
      <c r="J24" s="8"/>
      <c r="K24" s="8"/>
    </row>
    <row r="25" spans="2:11" ht="17.25">
      <c r="B25" s="83" t="s">
        <v>41</v>
      </c>
      <c r="C25" s="119">
        <f>'S&amp;D'!K46</f>
        <v>0.18</v>
      </c>
      <c r="D25" s="119">
        <f>+Debt!J27</f>
        <v>5.74E-2</v>
      </c>
      <c r="E25" s="119">
        <v>0.26</v>
      </c>
      <c r="F25" s="119">
        <f>+D25*(1-E25)</f>
        <v>4.2476E-2</v>
      </c>
      <c r="G25" s="120">
        <f>+C25*F25</f>
        <v>7.6456799999999993E-3</v>
      </c>
      <c r="H25" s="8"/>
      <c r="I25" s="8"/>
      <c r="J25" s="8"/>
      <c r="K25" s="8"/>
    </row>
    <row r="26" spans="2:11" ht="18" thickBot="1">
      <c r="B26" s="89" t="s">
        <v>0</v>
      </c>
      <c r="C26" s="89" t="s">
        <v>0</v>
      </c>
      <c r="D26" s="89" t="s">
        <v>0</v>
      </c>
      <c r="E26" s="89" t="s">
        <v>0</v>
      </c>
      <c r="F26" s="121" t="s">
        <v>0</v>
      </c>
      <c r="G26" s="122" t="s">
        <v>0</v>
      </c>
      <c r="H26" s="8"/>
      <c r="I26" s="8"/>
      <c r="J26" s="8"/>
      <c r="K26" s="8"/>
    </row>
    <row r="27" spans="2:11" ht="17.25">
      <c r="B27" s="83" t="s">
        <v>42</v>
      </c>
      <c r="C27" s="123">
        <f>+C23+C25</f>
        <v>1</v>
      </c>
      <c r="D27" s="83" t="s">
        <v>0</v>
      </c>
      <c r="E27" s="83" t="s">
        <v>0</v>
      </c>
      <c r="F27" s="124" t="s">
        <v>0</v>
      </c>
      <c r="G27" s="120">
        <f>+G23+G25</f>
        <v>5.2827679999999995E-2</v>
      </c>
      <c r="H27" s="8"/>
      <c r="I27" s="8"/>
      <c r="J27" s="8"/>
      <c r="K27" s="8"/>
    </row>
    <row r="28" spans="2:11" ht="18" thickBot="1">
      <c r="B28" s="56"/>
      <c r="C28" s="56"/>
      <c r="D28" s="56"/>
      <c r="E28" s="56"/>
      <c r="F28" s="56"/>
      <c r="G28" s="125"/>
      <c r="H28" s="8"/>
      <c r="I28" s="8"/>
      <c r="J28" s="8"/>
      <c r="K28" s="8"/>
    </row>
    <row r="29" spans="2:11" ht="18" thickBot="1">
      <c r="B29" s="8"/>
      <c r="C29" s="8"/>
      <c r="D29" s="8"/>
      <c r="E29" s="8"/>
      <c r="F29" s="168" t="s">
        <v>74</v>
      </c>
      <c r="G29" s="263">
        <v>5.28E-2</v>
      </c>
      <c r="H29" s="8"/>
      <c r="I29" s="8"/>
      <c r="J29" s="8"/>
      <c r="K29" s="8"/>
    </row>
    <row r="30" spans="2:11" ht="18" thickBot="1">
      <c r="B30" s="8"/>
      <c r="C30" s="8"/>
      <c r="D30" s="8"/>
      <c r="E30" s="8"/>
      <c r="F30" s="124"/>
      <c r="G30" s="120"/>
      <c r="H30" s="8"/>
      <c r="I30" s="8"/>
      <c r="J30" s="8"/>
      <c r="K30" s="8"/>
    </row>
    <row r="31" spans="2:11" ht="18" thickBot="1">
      <c r="B31" s="8"/>
      <c r="C31" s="8"/>
      <c r="D31" s="8"/>
      <c r="E31" s="8"/>
      <c r="F31" s="168" t="s">
        <v>221</v>
      </c>
      <c r="G31" s="198">
        <f>1/G29</f>
        <v>18.939393939393941</v>
      </c>
      <c r="H31" s="8"/>
      <c r="I31" s="8"/>
      <c r="J31" s="8"/>
      <c r="K31" s="8"/>
    </row>
    <row r="32" spans="2:11" ht="17.25">
      <c r="B32" s="8"/>
      <c r="C32" s="8"/>
      <c r="D32" s="8"/>
      <c r="E32" s="8"/>
      <c r="F32" s="124"/>
      <c r="G32" s="120"/>
      <c r="H32" s="8"/>
      <c r="I32" s="8"/>
      <c r="J32" s="8"/>
      <c r="K32" s="8"/>
    </row>
    <row r="33" spans="1:11" ht="17.25">
      <c r="B33" s="8"/>
      <c r="C33" s="8"/>
      <c r="D33" s="8"/>
      <c r="E33" s="8"/>
      <c r="F33" s="124"/>
      <c r="G33" s="120"/>
      <c r="H33" s="8"/>
      <c r="I33" s="8"/>
      <c r="J33" s="8"/>
      <c r="K33" s="8"/>
    </row>
    <row r="34" spans="1:11" ht="26.25">
      <c r="A34" s="19" t="s">
        <v>1</v>
      </c>
      <c r="C34" s="8"/>
      <c r="D34" s="8"/>
      <c r="E34" s="8"/>
      <c r="F34" s="124"/>
      <c r="G34" s="120"/>
      <c r="H34" s="8"/>
      <c r="I34" s="8"/>
      <c r="J34" s="8"/>
      <c r="K34" s="8"/>
    </row>
    <row r="35" spans="1:11" ht="17.25">
      <c r="A35" s="20" t="s">
        <v>9</v>
      </c>
      <c r="C35" s="8"/>
      <c r="D35" s="8"/>
      <c r="E35" s="8"/>
      <c r="F35" s="124"/>
      <c r="G35" s="120"/>
      <c r="H35" s="8"/>
      <c r="I35" s="8"/>
      <c r="J35" s="8"/>
      <c r="K35" s="8"/>
    </row>
    <row r="36" spans="1:11" ht="17.25">
      <c r="A36" s="21" t="s">
        <v>457</v>
      </c>
      <c r="C36" s="8"/>
      <c r="D36" s="8"/>
      <c r="E36" s="8"/>
      <c r="F36" s="124"/>
      <c r="G36" s="120"/>
      <c r="H36" s="8"/>
      <c r="I36" s="8"/>
      <c r="J36" s="8"/>
      <c r="K36" s="8"/>
    </row>
    <row r="37" spans="1:11" ht="17.25">
      <c r="A37" s="21"/>
      <c r="C37" s="8"/>
      <c r="D37" s="8"/>
      <c r="E37" s="8"/>
      <c r="F37" s="124"/>
      <c r="G37" s="120"/>
      <c r="H37" s="8"/>
      <c r="I37" s="8"/>
      <c r="J37" s="8"/>
      <c r="K37" s="8"/>
    </row>
    <row r="38" spans="1:11" ht="17.25">
      <c r="A38" s="21"/>
      <c r="C38" s="8"/>
      <c r="D38" s="8"/>
      <c r="E38" s="8"/>
      <c r="F38" s="124"/>
      <c r="G38" s="120"/>
      <c r="H38" s="8"/>
      <c r="I38" s="8"/>
      <c r="J38" s="8"/>
      <c r="K38" s="8"/>
    </row>
    <row r="39" spans="1:11" ht="17.25">
      <c r="A39" s="21"/>
      <c r="C39" s="8"/>
      <c r="D39" s="8"/>
      <c r="E39" s="8"/>
      <c r="F39" s="124"/>
      <c r="G39" s="120"/>
      <c r="H39" s="8"/>
      <c r="I39" s="8"/>
      <c r="J39" s="8"/>
      <c r="K39" s="8"/>
    </row>
    <row r="40" spans="1:11" ht="17.25">
      <c r="A40" s="21"/>
      <c r="C40" s="8"/>
      <c r="D40" s="8"/>
      <c r="E40" s="8"/>
      <c r="F40" s="124"/>
      <c r="G40" s="120"/>
      <c r="H40" s="8"/>
      <c r="I40" s="8"/>
      <c r="J40" s="8"/>
      <c r="K40" s="8"/>
    </row>
    <row r="41" spans="1:11" ht="17.25">
      <c r="A41" s="21"/>
      <c r="C41" s="8"/>
      <c r="D41" s="8"/>
      <c r="E41" s="8"/>
      <c r="F41" s="124"/>
      <c r="G41" s="120"/>
      <c r="H41" s="8"/>
      <c r="I41" s="8"/>
      <c r="J41" s="8"/>
      <c r="K41" s="8"/>
    </row>
    <row r="42" spans="1:11" ht="17.25">
      <c r="A42" s="21"/>
      <c r="C42" s="8"/>
      <c r="D42" s="8"/>
      <c r="E42" s="8"/>
      <c r="F42" s="124"/>
      <c r="G42" s="120"/>
      <c r="H42" s="8"/>
      <c r="I42" s="8"/>
      <c r="J42" s="8"/>
      <c r="K42" s="8"/>
    </row>
    <row r="43" spans="1:11" ht="17.25">
      <c r="A43" s="21"/>
      <c r="C43" s="8"/>
      <c r="D43" s="8"/>
      <c r="E43" s="8"/>
      <c r="F43" s="124"/>
      <c r="G43" s="120"/>
      <c r="H43" s="8"/>
      <c r="I43" s="8"/>
      <c r="J43" s="8"/>
      <c r="K43" s="8"/>
    </row>
    <row r="44" spans="1:11" ht="20.25">
      <c r="A44" s="21"/>
      <c r="C44" s="8"/>
      <c r="D44" s="71" t="s">
        <v>63</v>
      </c>
      <c r="E44" s="8"/>
      <c r="F44" s="124"/>
      <c r="G44" s="120"/>
      <c r="H44" s="8"/>
      <c r="I44" s="8"/>
      <c r="J44" s="8"/>
      <c r="K44" s="8"/>
    </row>
    <row r="45" spans="1:11" ht="20.25">
      <c r="A45" s="21"/>
      <c r="C45" s="8"/>
      <c r="D45" s="71"/>
      <c r="E45" s="8"/>
      <c r="F45" s="124"/>
      <c r="G45" s="120"/>
      <c r="H45" s="8"/>
      <c r="I45" s="8"/>
      <c r="J45" s="8"/>
      <c r="K45" s="8"/>
    </row>
    <row r="46" spans="1:11" ht="20.25">
      <c r="A46" s="21"/>
      <c r="C46" s="8"/>
      <c r="D46" s="71"/>
      <c r="E46" s="8"/>
      <c r="F46" s="124"/>
      <c r="G46" s="120"/>
      <c r="H46" s="8"/>
      <c r="I46" s="8"/>
      <c r="J46" s="8"/>
      <c r="K46" s="8"/>
    </row>
    <row r="47" spans="1:11" ht="17.25" thickBot="1">
      <c r="B47" s="8"/>
      <c r="C47" s="24"/>
      <c r="D47" s="24"/>
      <c r="E47" s="24"/>
      <c r="F47" s="8"/>
      <c r="G47" s="8"/>
      <c r="H47" s="8"/>
      <c r="I47" s="8"/>
      <c r="J47" s="8"/>
      <c r="K47" s="8"/>
    </row>
    <row r="48" spans="1:11" ht="26.25">
      <c r="B48" s="8"/>
      <c r="C48" s="8"/>
      <c r="D48" s="26" t="str">
        <f>+D15</f>
        <v>Railroad Carriers</v>
      </c>
      <c r="E48" s="8"/>
      <c r="F48" s="8"/>
      <c r="G48" s="8"/>
      <c r="H48" s="8"/>
      <c r="I48" s="8"/>
      <c r="J48" s="8"/>
      <c r="K48" s="8"/>
    </row>
    <row r="49" spans="2:11" ht="21" thickBot="1">
      <c r="B49" s="8"/>
      <c r="C49" s="24"/>
      <c r="D49" s="118" t="s">
        <v>65</v>
      </c>
      <c r="E49" s="24"/>
      <c r="F49" s="8"/>
      <c r="G49" s="8"/>
      <c r="H49" s="8"/>
      <c r="I49" s="8"/>
      <c r="J49" s="8"/>
      <c r="K49" s="8"/>
    </row>
    <row r="50" spans="2:11" ht="16.5"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2:11" ht="17.25" thickBot="1">
      <c r="B51" s="24"/>
      <c r="C51" s="24"/>
      <c r="D51" s="31" t="s">
        <v>0</v>
      </c>
      <c r="E51" s="24"/>
      <c r="F51" s="24"/>
      <c r="G51" s="24"/>
      <c r="H51" s="8"/>
      <c r="I51" s="8"/>
      <c r="J51" s="8"/>
      <c r="K51" s="8"/>
    </row>
    <row r="52" spans="2:11" ht="16.5">
      <c r="B52" s="29" t="s">
        <v>31</v>
      </c>
      <c r="C52" s="29" t="s">
        <v>32</v>
      </c>
      <c r="D52" s="29" t="s">
        <v>67</v>
      </c>
      <c r="E52" s="29" t="s">
        <v>68</v>
      </c>
      <c r="F52" s="29" t="s">
        <v>66</v>
      </c>
      <c r="G52" s="29" t="s">
        <v>34</v>
      </c>
      <c r="H52" s="8"/>
      <c r="I52" s="8"/>
      <c r="J52" s="8"/>
      <c r="K52" s="8"/>
    </row>
    <row r="53" spans="2:11" ht="17.25" thickBot="1">
      <c r="B53" s="31" t="s">
        <v>32</v>
      </c>
      <c r="C53" s="31" t="s">
        <v>35</v>
      </c>
      <c r="D53" s="31" t="s">
        <v>36</v>
      </c>
      <c r="E53" s="31" t="s">
        <v>23</v>
      </c>
      <c r="F53" s="31" t="s">
        <v>37</v>
      </c>
      <c r="G53" s="31" t="s">
        <v>69</v>
      </c>
      <c r="H53" s="8"/>
      <c r="I53" s="8"/>
      <c r="J53" s="8"/>
      <c r="K53" s="8"/>
    </row>
    <row r="54" spans="2:11" ht="16.5">
      <c r="B54" s="33" t="s">
        <v>0</v>
      </c>
      <c r="C54" s="33" t="s">
        <v>0</v>
      </c>
      <c r="D54" s="33" t="s">
        <v>0</v>
      </c>
      <c r="E54" s="33" t="s">
        <v>0</v>
      </c>
      <c r="F54" s="33" t="s">
        <v>0</v>
      </c>
      <c r="G54" s="33" t="s">
        <v>0</v>
      </c>
      <c r="H54" s="8"/>
      <c r="I54" s="8"/>
      <c r="J54" s="8"/>
      <c r="K54" s="8"/>
    </row>
    <row r="55" spans="2:11" ht="16.5">
      <c r="B55" s="29"/>
      <c r="C55" s="29"/>
      <c r="D55" s="29"/>
      <c r="E55" s="29"/>
      <c r="F55" s="29"/>
      <c r="G55" s="29"/>
      <c r="H55" s="8"/>
      <c r="I55" s="8"/>
      <c r="J55" s="8"/>
      <c r="K55" s="8"/>
    </row>
    <row r="56" spans="2:11" ht="17.25">
      <c r="B56" s="83" t="s">
        <v>39</v>
      </c>
      <c r="C56" s="119">
        <f>'S&amp;D'!J46</f>
        <v>0.82</v>
      </c>
      <c r="D56" s="119">
        <f>+'Direct GCF'!H30</f>
        <v>7.9500000000000001E-2</v>
      </c>
      <c r="E56" s="96"/>
      <c r="F56" s="119">
        <f>+D56</f>
        <v>7.9500000000000001E-2</v>
      </c>
      <c r="G56" s="120">
        <f>+F56*C56</f>
        <v>6.5189999999999998E-2</v>
      </c>
      <c r="H56" s="8"/>
      <c r="I56" s="8"/>
      <c r="J56" s="8"/>
      <c r="K56" s="8"/>
    </row>
    <row r="57" spans="2:11" ht="17.25">
      <c r="B57" s="83" t="s">
        <v>0</v>
      </c>
      <c r="C57" s="96" t="s">
        <v>0</v>
      </c>
      <c r="D57" s="96" t="s">
        <v>0</v>
      </c>
      <c r="E57" s="96"/>
      <c r="F57" s="474" t="s">
        <v>0</v>
      </c>
      <c r="G57" s="109" t="s">
        <v>0</v>
      </c>
      <c r="H57" s="8"/>
      <c r="I57" s="8"/>
      <c r="J57" s="8"/>
      <c r="K57" s="8"/>
    </row>
    <row r="58" spans="2:11" ht="17.25">
      <c r="B58" s="83" t="s">
        <v>41</v>
      </c>
      <c r="C58" s="119">
        <f>'S&amp;D'!K46</f>
        <v>0.18</v>
      </c>
      <c r="D58" s="119">
        <f>+Debt!J27</f>
        <v>5.74E-2</v>
      </c>
      <c r="E58" s="119">
        <v>0.26</v>
      </c>
      <c r="F58" s="119">
        <f>+D58*(1-E58)</f>
        <v>4.2476E-2</v>
      </c>
      <c r="G58" s="120">
        <f>+C58*F58</f>
        <v>7.6456799999999993E-3</v>
      </c>
      <c r="H58" s="8"/>
      <c r="I58" s="8"/>
      <c r="J58" s="8"/>
      <c r="K58" s="8"/>
    </row>
    <row r="59" spans="2:11" ht="18" thickBot="1">
      <c r="B59" s="89" t="s">
        <v>0</v>
      </c>
      <c r="C59" s="89" t="s">
        <v>0</v>
      </c>
      <c r="D59" s="89" t="s">
        <v>0</v>
      </c>
      <c r="E59" s="89" t="s">
        <v>0</v>
      </c>
      <c r="F59" s="121" t="s">
        <v>0</v>
      </c>
      <c r="G59" s="122" t="s">
        <v>0</v>
      </c>
      <c r="H59" s="8"/>
      <c r="I59" s="8"/>
      <c r="J59" s="8"/>
      <c r="K59" s="8"/>
    </row>
    <row r="60" spans="2:11" ht="17.25">
      <c r="B60" s="83" t="s">
        <v>42</v>
      </c>
      <c r="C60" s="123">
        <f>+C56+C58</f>
        <v>1</v>
      </c>
      <c r="D60" s="83" t="s">
        <v>0</v>
      </c>
      <c r="E60" s="83" t="s">
        <v>0</v>
      </c>
      <c r="F60" s="124" t="s">
        <v>0</v>
      </c>
      <c r="G60" s="120">
        <f>+G56+G58</f>
        <v>7.283568E-2</v>
      </c>
      <c r="H60" s="8"/>
      <c r="I60" s="8"/>
      <c r="J60" s="8"/>
      <c r="K60" s="8"/>
    </row>
    <row r="61" spans="2:11" ht="18" thickBot="1">
      <c r="B61" s="56"/>
      <c r="C61" s="56"/>
      <c r="D61" s="56"/>
      <c r="E61" s="56"/>
      <c r="F61" s="56"/>
      <c r="G61" s="125"/>
      <c r="H61" s="8"/>
      <c r="I61" s="8"/>
      <c r="J61" s="8"/>
      <c r="K61" s="8"/>
    </row>
    <row r="62" spans="2:11" ht="18" thickBot="1">
      <c r="B62" s="8"/>
      <c r="C62" s="8"/>
      <c r="D62" s="8"/>
      <c r="E62" s="8"/>
      <c r="F62" s="168" t="s">
        <v>74</v>
      </c>
      <c r="G62" s="263">
        <v>7.2800000000000004E-2</v>
      </c>
      <c r="H62" s="8"/>
      <c r="I62" s="8"/>
      <c r="J62" s="8"/>
      <c r="K62" s="8"/>
    </row>
    <row r="63" spans="2:11" ht="15.75" thickBot="1"/>
    <row r="64" spans="2:11" ht="18" thickBot="1">
      <c r="F64" s="168" t="s">
        <v>221</v>
      </c>
      <c r="G64" s="198">
        <f>1/G62</f>
        <v>13.736263736263735</v>
      </c>
    </row>
  </sheetData>
  <pageMargins left="0.25" right="0.25" top="0.75" bottom="0.75" header="0.3" footer="0.3"/>
  <pageSetup scale="72" fitToHeight="0" orientation="landscape" r:id="rId1"/>
  <rowBreaks count="1" manualBreakCount="1">
    <brk id="3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72"/>
  <sheetViews>
    <sheetView view="pageBreakPreview" zoomScale="70" zoomScaleNormal="80" zoomScaleSheetLayoutView="70" zoomScalePageLayoutView="70" workbookViewId="0">
      <pane xSplit="1" topLeftCell="E1" activePane="topRight" state="frozen"/>
      <selection pane="topRight" activeCell="A60" activeCellId="1" sqref="F4:F5 A60"/>
    </sheetView>
  </sheetViews>
  <sheetFormatPr defaultRowHeight="15"/>
  <cols>
    <col min="1" max="1" width="63" customWidth="1"/>
    <col min="2" max="2" width="11.5703125" bestFit="1" customWidth="1"/>
    <col min="3" max="3" width="20.42578125" bestFit="1" customWidth="1"/>
    <col min="4" max="4" width="25.5703125" bestFit="1" customWidth="1"/>
    <col min="5" max="5" width="28" customWidth="1"/>
    <col min="6" max="8" width="29.140625" customWidth="1"/>
    <col min="9" max="9" width="28.5703125" customWidth="1"/>
    <col min="10" max="10" width="28.7109375" customWidth="1"/>
    <col min="11" max="11" width="28.5703125" customWidth="1"/>
    <col min="12" max="12" width="28.85546875" customWidth="1"/>
    <col min="13" max="13" width="30.140625" bestFit="1" customWidth="1"/>
    <col min="14" max="14" width="24.42578125" customWidth="1"/>
  </cols>
  <sheetData>
    <row r="1" spans="1:12" ht="26.25">
      <c r="A1" s="19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17.25">
      <c r="A2" s="20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2" ht="16.5">
      <c r="A3" s="21" t="s">
        <v>457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ht="16.5">
      <c r="A4" s="21"/>
      <c r="B4" s="8"/>
      <c r="C4" s="8"/>
      <c r="D4" s="8"/>
      <c r="E4" s="8"/>
      <c r="F4" s="476" t="s">
        <v>0</v>
      </c>
      <c r="G4" s="8"/>
      <c r="H4" s="8"/>
      <c r="I4" s="8"/>
      <c r="J4" s="8"/>
      <c r="K4" s="8"/>
    </row>
    <row r="5" spans="1:12" ht="16.5">
      <c r="B5" s="8"/>
      <c r="C5" s="8"/>
      <c r="D5" s="8"/>
      <c r="E5" s="22"/>
      <c r="F5" s="476" t="s">
        <v>0</v>
      </c>
      <c r="G5" s="8"/>
      <c r="H5" s="8"/>
      <c r="I5" s="8"/>
      <c r="J5" s="8"/>
      <c r="K5" s="8" t="s">
        <v>0</v>
      </c>
    </row>
    <row r="6" spans="1:12" ht="16.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16.5">
      <c r="A7" s="8" t="s">
        <v>477</v>
      </c>
      <c r="B7" s="29"/>
      <c r="C7" s="29"/>
      <c r="D7" s="29">
        <f>1-0.3725</f>
        <v>0.62749999999999995</v>
      </c>
      <c r="E7" s="29"/>
      <c r="F7" s="29"/>
      <c r="G7" s="10"/>
      <c r="H7" s="38"/>
      <c r="I7" s="38" t="s">
        <v>0</v>
      </c>
      <c r="J7" s="78"/>
      <c r="K7" s="78"/>
      <c r="L7" s="2"/>
    </row>
    <row r="8" spans="1:12" ht="16.5">
      <c r="A8" s="79"/>
      <c r="B8" s="29"/>
      <c r="C8" s="29"/>
      <c r="E8" s="29"/>
      <c r="F8" s="29"/>
      <c r="G8" s="10"/>
      <c r="H8" s="38"/>
      <c r="I8" s="38" t="s">
        <v>0</v>
      </c>
      <c r="J8" s="78"/>
      <c r="K8" s="78"/>
      <c r="L8" s="2"/>
    </row>
    <row r="9" spans="1:12" ht="16.5">
      <c r="A9" s="79"/>
      <c r="B9" s="29"/>
      <c r="C9" s="29"/>
      <c r="D9" s="29"/>
      <c r="E9" s="29"/>
      <c r="F9" s="29"/>
      <c r="G9" s="10"/>
      <c r="H9" s="38"/>
      <c r="I9" s="38" t="s">
        <v>0</v>
      </c>
      <c r="J9" s="78"/>
      <c r="K9" s="78"/>
      <c r="L9" s="2"/>
    </row>
    <row r="10" spans="1:12" ht="16.5">
      <c r="A10" s="38"/>
      <c r="D10" s="38"/>
      <c r="E10" s="38"/>
      <c r="F10" s="38"/>
      <c r="G10" s="38"/>
      <c r="H10" s="38"/>
      <c r="I10" s="38"/>
      <c r="J10" s="38"/>
      <c r="K10" s="38"/>
      <c r="L10" s="1"/>
    </row>
    <row r="11" spans="1:12" ht="17.25" thickBot="1">
      <c r="A11" s="38"/>
      <c r="D11" s="38"/>
      <c r="E11" s="80"/>
      <c r="F11" s="24"/>
      <c r="G11" s="80"/>
      <c r="H11" s="38"/>
      <c r="I11" s="38"/>
      <c r="J11" s="38" t="s">
        <v>0</v>
      </c>
      <c r="K11" s="38"/>
      <c r="L11" s="1"/>
    </row>
    <row r="12" spans="1:12" ht="27" thickBot="1">
      <c r="A12" s="23" t="s">
        <v>349</v>
      </c>
      <c r="D12" s="38"/>
      <c r="E12" s="38"/>
      <c r="F12" s="26" t="s">
        <v>75</v>
      </c>
      <c r="G12" s="38"/>
      <c r="H12" s="38"/>
      <c r="I12" s="38"/>
      <c r="J12" s="38"/>
      <c r="K12" s="8"/>
    </row>
    <row r="13" spans="1:12" ht="21" thickBot="1">
      <c r="A13" s="25"/>
      <c r="D13" s="38"/>
      <c r="E13" s="80"/>
      <c r="F13" s="31" t="s">
        <v>470</v>
      </c>
      <c r="G13" s="80"/>
      <c r="H13" s="38"/>
      <c r="I13" s="38"/>
      <c r="J13" s="38"/>
      <c r="K13" s="8"/>
    </row>
    <row r="14" spans="1:12" ht="20.25">
      <c r="A14" s="25"/>
      <c r="B14" s="38"/>
      <c r="C14" s="38"/>
      <c r="D14" s="38" t="s">
        <v>0</v>
      </c>
      <c r="E14" s="38" t="s">
        <v>0</v>
      </c>
      <c r="F14" s="9" t="s">
        <v>0</v>
      </c>
      <c r="G14" s="38"/>
      <c r="H14" s="38"/>
      <c r="I14" s="38"/>
      <c r="J14" s="38"/>
      <c r="K14" s="8"/>
    </row>
    <row r="15" spans="1:12" ht="17.25" thickBot="1">
      <c r="A15" s="36" t="s">
        <v>0</v>
      </c>
      <c r="B15" s="36" t="s">
        <v>0</v>
      </c>
      <c r="C15" s="36" t="s">
        <v>0</v>
      </c>
      <c r="D15" s="36"/>
      <c r="E15" s="36"/>
      <c r="F15" s="36"/>
      <c r="G15" s="36" t="s">
        <v>0</v>
      </c>
      <c r="H15" s="80"/>
      <c r="I15" s="80"/>
      <c r="J15" s="80"/>
      <c r="K15" s="8"/>
    </row>
    <row r="16" spans="1:12" ht="17.25">
      <c r="A16" s="214"/>
      <c r="B16" s="215"/>
      <c r="C16" s="230"/>
      <c r="D16" s="199" t="s">
        <v>13</v>
      </c>
      <c r="E16" s="227" t="s">
        <v>13</v>
      </c>
      <c r="F16" s="199" t="s">
        <v>13</v>
      </c>
      <c r="G16" s="216" t="s">
        <v>230</v>
      </c>
      <c r="H16" s="360" t="s">
        <v>471</v>
      </c>
      <c r="I16" s="360" t="s">
        <v>471</v>
      </c>
      <c r="J16" s="360" t="s">
        <v>471</v>
      </c>
      <c r="K16" s="8"/>
    </row>
    <row r="17" spans="1:13" ht="17.25">
      <c r="A17" s="81" t="s">
        <v>0</v>
      </c>
      <c r="B17" s="82" t="s">
        <v>3</v>
      </c>
      <c r="C17" s="202" t="s">
        <v>5</v>
      </c>
      <c r="D17" s="84" t="s">
        <v>10</v>
      </c>
      <c r="E17" s="228" t="s">
        <v>10</v>
      </c>
      <c r="F17" s="84" t="s">
        <v>19</v>
      </c>
      <c r="G17" s="85" t="s">
        <v>471</v>
      </c>
      <c r="H17" s="82" t="s">
        <v>12</v>
      </c>
      <c r="I17" s="219" t="s">
        <v>11</v>
      </c>
      <c r="J17" s="86" t="s">
        <v>143</v>
      </c>
      <c r="K17" s="8"/>
    </row>
    <row r="18" spans="1:13" ht="17.25">
      <c r="A18" s="81" t="s">
        <v>2</v>
      </c>
      <c r="B18" s="82" t="s">
        <v>4</v>
      </c>
      <c r="C18" s="202" t="s">
        <v>6</v>
      </c>
      <c r="D18" s="84" t="s">
        <v>46</v>
      </c>
      <c r="E18" s="228" t="s">
        <v>47</v>
      </c>
      <c r="F18" s="84" t="s">
        <v>10</v>
      </c>
      <c r="G18" s="85" t="s">
        <v>10</v>
      </c>
      <c r="H18" s="82" t="s">
        <v>73</v>
      </c>
      <c r="I18" s="219" t="s">
        <v>339</v>
      </c>
      <c r="J18" s="86" t="s">
        <v>409</v>
      </c>
      <c r="K18" s="8" t="s">
        <v>0</v>
      </c>
    </row>
    <row r="19" spans="1:13" ht="18" thickBot="1">
      <c r="A19" s="87" t="s">
        <v>0</v>
      </c>
      <c r="B19" s="88" t="s">
        <v>0</v>
      </c>
      <c r="C19" s="101" t="s">
        <v>0</v>
      </c>
      <c r="D19" s="88" t="s">
        <v>0</v>
      </c>
      <c r="E19" s="89" t="s">
        <v>0</v>
      </c>
      <c r="F19" s="88" t="s">
        <v>0</v>
      </c>
      <c r="G19" s="89" t="s">
        <v>0</v>
      </c>
      <c r="H19" s="90" t="s">
        <v>62</v>
      </c>
      <c r="I19" s="91" t="s">
        <v>61</v>
      </c>
      <c r="J19" s="90" t="s">
        <v>61</v>
      </c>
      <c r="K19" s="8"/>
    </row>
    <row r="20" spans="1:13" ht="16.5">
      <c r="A20" s="231" t="s">
        <v>7</v>
      </c>
      <c r="B20" s="251" t="s">
        <v>7</v>
      </c>
      <c r="C20" s="231" t="s">
        <v>7</v>
      </c>
      <c r="D20" s="259" t="s">
        <v>7</v>
      </c>
      <c r="E20" s="259" t="s">
        <v>7</v>
      </c>
      <c r="F20" s="37" t="s">
        <v>15</v>
      </c>
      <c r="G20" s="250" t="s">
        <v>7</v>
      </c>
      <c r="H20" s="231" t="s">
        <v>8</v>
      </c>
      <c r="I20" s="251" t="s">
        <v>8</v>
      </c>
      <c r="J20" s="231" t="s">
        <v>8</v>
      </c>
      <c r="K20" s="8"/>
    </row>
    <row r="21" spans="1:13" ht="17.25">
      <c r="A21" s="82"/>
      <c r="B21" s="83"/>
      <c r="C21" s="82"/>
      <c r="D21" s="202"/>
      <c r="E21" s="83"/>
      <c r="F21" s="81"/>
      <c r="G21" s="81"/>
      <c r="H21" s="82"/>
      <c r="I21" s="56"/>
      <c r="J21" s="94"/>
    </row>
    <row r="22" spans="1:13" ht="17.25">
      <c r="A22" s="95" t="s">
        <v>350</v>
      </c>
      <c r="B22" s="73" t="s">
        <v>351</v>
      </c>
      <c r="C22" s="83" t="s">
        <v>352</v>
      </c>
      <c r="D22" s="309">
        <v>100.66</v>
      </c>
      <c r="E22" s="310">
        <v>90.74</v>
      </c>
      <c r="F22" s="309">
        <f>AVERAGE(D22,E22)</f>
        <v>95.699999999999989</v>
      </c>
      <c r="G22" s="310">
        <v>98.85</v>
      </c>
      <c r="H22" s="297">
        <v>613300000</v>
      </c>
      <c r="I22" s="302">
        <v>0</v>
      </c>
      <c r="J22" s="298">
        <f>(20300000000+906000000)*0.6275</f>
        <v>13306764999.999998</v>
      </c>
      <c r="K22" s="8" t="s">
        <v>0</v>
      </c>
      <c r="L22" t="s">
        <v>0</v>
      </c>
      <c r="M22" t="s">
        <v>0</v>
      </c>
    </row>
    <row r="23" spans="1:13" ht="17.25">
      <c r="A23" s="95" t="s">
        <v>410</v>
      </c>
      <c r="B23" s="73" t="s">
        <v>353</v>
      </c>
      <c r="C23" s="83" t="s">
        <v>352</v>
      </c>
      <c r="D23" s="309">
        <v>78.489999999999995</v>
      </c>
      <c r="E23" s="310">
        <v>68.42</v>
      </c>
      <c r="F23" s="309">
        <f>AVERAGE(D23,E23)</f>
        <v>73.454999999999998</v>
      </c>
      <c r="G23" s="310">
        <v>73.63</v>
      </c>
      <c r="H23" s="297">
        <v>897600000</v>
      </c>
      <c r="I23" s="302"/>
      <c r="J23" s="298">
        <f>19948000000+3240000000</f>
        <v>23188000000</v>
      </c>
      <c r="K23" s="8" t="s">
        <v>0</v>
      </c>
      <c r="L23" t="s">
        <v>0</v>
      </c>
    </row>
    <row r="24" spans="1:13" ht="17.25">
      <c r="A24" s="95" t="s">
        <v>354</v>
      </c>
      <c r="B24" s="73" t="s">
        <v>355</v>
      </c>
      <c r="C24" s="83" t="s">
        <v>352</v>
      </c>
      <c r="D24" s="309">
        <v>37.54</v>
      </c>
      <c r="E24" s="310">
        <v>33.630000000000003</v>
      </c>
      <c r="F24" s="309">
        <f t="shared" ref="F24:F26" si="0">AVERAGE(D24,E24)</f>
        <v>35.585000000000001</v>
      </c>
      <c r="G24" s="310">
        <v>36.25</v>
      </c>
      <c r="H24" s="297">
        <v>1860000000</v>
      </c>
      <c r="I24" s="302"/>
      <c r="J24" s="298">
        <f>708000000+18165000000</f>
        <v>18873000000</v>
      </c>
      <c r="K24" s="8"/>
    </row>
    <row r="25" spans="1:13" ht="17.25">
      <c r="A25" s="95" t="s">
        <v>356</v>
      </c>
      <c r="B25" s="73" t="s">
        <v>357</v>
      </c>
      <c r="C25" s="83" t="s">
        <v>352</v>
      </c>
      <c r="D25" s="309">
        <v>301.52999999999997</v>
      </c>
      <c r="E25" s="310">
        <v>278.41000000000003</v>
      </c>
      <c r="F25" s="309">
        <f t="shared" si="0"/>
        <v>289.97000000000003</v>
      </c>
      <c r="G25" s="309">
        <v>288.72000000000003</v>
      </c>
      <c r="H25" s="297">
        <v>224420699</v>
      </c>
      <c r="I25" s="299"/>
      <c r="J25" s="298">
        <f>607000000+16480000000</f>
        <v>17087000000</v>
      </c>
      <c r="K25" s="8"/>
    </row>
    <row r="26" spans="1:13" ht="18" thickBot="1">
      <c r="A26" s="255" t="s">
        <v>358</v>
      </c>
      <c r="B26" s="74" t="s">
        <v>359</v>
      </c>
      <c r="C26" s="89" t="s">
        <v>352</v>
      </c>
      <c r="D26" s="311">
        <v>241.52</v>
      </c>
      <c r="E26" s="312">
        <v>215.53</v>
      </c>
      <c r="F26" s="311">
        <f t="shared" si="0"/>
        <v>228.52500000000001</v>
      </c>
      <c r="G26" s="359">
        <v>231.32</v>
      </c>
      <c r="H26" s="296">
        <v>593245884</v>
      </c>
      <c r="I26" s="300"/>
      <c r="J26" s="301">
        <f>1520000000+30294000000</f>
        <v>31814000000</v>
      </c>
      <c r="K26" s="8"/>
    </row>
    <row r="27" spans="1:13" ht="17.25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8"/>
      <c r="L27" t="s">
        <v>0</v>
      </c>
    </row>
    <row r="28" spans="1:13" ht="17.25">
      <c r="A28" s="350" t="s">
        <v>404</v>
      </c>
      <c r="B28" s="98"/>
      <c r="C28" s="98"/>
      <c r="D28" s="98" t="s">
        <v>0</v>
      </c>
      <c r="E28" s="98"/>
      <c r="F28" s="98"/>
      <c r="G28" s="98"/>
      <c r="H28" s="98" t="s">
        <v>0</v>
      </c>
      <c r="I28" s="98"/>
      <c r="J28" s="98" t="s">
        <v>0</v>
      </c>
      <c r="K28" s="8"/>
    </row>
    <row r="29" spans="1:13" ht="18" thickBot="1">
      <c r="A29" s="475" t="s">
        <v>0</v>
      </c>
      <c r="B29" s="99"/>
      <c r="C29" s="99"/>
      <c r="D29" s="99"/>
      <c r="E29" s="99"/>
      <c r="F29" s="24"/>
      <c r="G29" s="387" t="s">
        <v>0</v>
      </c>
      <c r="H29" s="99"/>
      <c r="I29" s="99"/>
      <c r="J29" s="98"/>
      <c r="K29" s="98"/>
      <c r="L29" s="3"/>
    </row>
    <row r="30" spans="1:13" ht="17.25">
      <c r="A30" s="81"/>
      <c r="B30" s="82"/>
      <c r="C30" s="83"/>
      <c r="D30" s="360" t="s">
        <v>471</v>
      </c>
      <c r="E30" s="360" t="s">
        <v>471</v>
      </c>
      <c r="F30" s="360" t="s">
        <v>471</v>
      </c>
      <c r="G30" s="386" t="s">
        <v>414</v>
      </c>
      <c r="H30" s="360" t="s">
        <v>471</v>
      </c>
      <c r="I30" s="360" t="s">
        <v>471</v>
      </c>
      <c r="J30" s="360" t="s">
        <v>471</v>
      </c>
      <c r="K30" s="360" t="s">
        <v>471</v>
      </c>
    </row>
    <row r="31" spans="1:13" ht="17.25">
      <c r="A31" s="81" t="s">
        <v>0</v>
      </c>
      <c r="B31" s="82" t="s">
        <v>3</v>
      </c>
      <c r="C31" s="83" t="s">
        <v>5</v>
      </c>
      <c r="D31" s="82" t="s">
        <v>12</v>
      </c>
      <c r="E31" s="96" t="s">
        <v>142</v>
      </c>
      <c r="F31" s="86" t="s">
        <v>266</v>
      </c>
      <c r="G31" s="86" t="s">
        <v>415</v>
      </c>
      <c r="H31" s="82" t="s">
        <v>198</v>
      </c>
      <c r="I31" s="86" t="s">
        <v>16</v>
      </c>
      <c r="J31" s="86" t="s">
        <v>17</v>
      </c>
      <c r="K31" s="86" t="s">
        <v>52</v>
      </c>
    </row>
    <row r="32" spans="1:13" ht="18" thickBot="1">
      <c r="A32" s="87" t="s">
        <v>2</v>
      </c>
      <c r="B32" s="88" t="s">
        <v>4</v>
      </c>
      <c r="C32" s="89" t="s">
        <v>6</v>
      </c>
      <c r="D32" s="88" t="s">
        <v>14</v>
      </c>
      <c r="E32" s="89" t="s">
        <v>14</v>
      </c>
      <c r="F32" s="88" t="s">
        <v>279</v>
      </c>
      <c r="G32" s="88" t="s">
        <v>279</v>
      </c>
      <c r="H32" s="88" t="s">
        <v>14</v>
      </c>
      <c r="I32" s="74" t="s">
        <v>408</v>
      </c>
      <c r="J32" s="88" t="s">
        <v>0</v>
      </c>
      <c r="K32" s="88" t="s">
        <v>331</v>
      </c>
    </row>
    <row r="33" spans="1:14" ht="16.5">
      <c r="A33" s="92" t="s">
        <v>7</v>
      </c>
      <c r="B33" s="93" t="s">
        <v>7</v>
      </c>
      <c r="C33" s="37" t="s">
        <v>7</v>
      </c>
      <c r="D33" s="93" t="s">
        <v>15</v>
      </c>
      <c r="E33" s="37" t="s">
        <v>8</v>
      </c>
      <c r="F33" s="93" t="s">
        <v>8</v>
      </c>
      <c r="G33" s="93" t="s">
        <v>8</v>
      </c>
      <c r="H33" s="93" t="s">
        <v>8</v>
      </c>
      <c r="I33" s="93" t="s">
        <v>15</v>
      </c>
      <c r="J33" s="93" t="s">
        <v>15</v>
      </c>
      <c r="K33" s="93" t="s">
        <v>15</v>
      </c>
      <c r="M33" s="377"/>
      <c r="N33" s="377"/>
    </row>
    <row r="34" spans="1:14" ht="17.25">
      <c r="A34" s="81"/>
      <c r="B34" s="82"/>
      <c r="C34" s="83"/>
      <c r="D34" s="363"/>
      <c r="E34" s="98"/>
      <c r="F34" s="94"/>
      <c r="H34" s="363"/>
      <c r="I34" s="94"/>
      <c r="J34" s="94"/>
      <c r="K34" s="94"/>
      <c r="M34" s="378"/>
      <c r="N34" s="378"/>
    </row>
    <row r="35" spans="1:14" ht="17.25">
      <c r="A35" s="95" t="str">
        <f t="shared" ref="A35:C39" si="1">+A22</f>
        <v>Canadian National</v>
      </c>
      <c r="B35" s="82" t="str">
        <f t="shared" si="1"/>
        <v>CNI</v>
      </c>
      <c r="C35" s="83" t="str">
        <f t="shared" si="1"/>
        <v>Railroad</v>
      </c>
      <c r="D35" s="298">
        <f>(+H22)*G22</f>
        <v>60624705000</v>
      </c>
      <c r="E35" s="103">
        <f>(1/1)*I22</f>
        <v>0</v>
      </c>
      <c r="F35" s="298">
        <f>316000000*0.6275</f>
        <v>198289999.99999997</v>
      </c>
      <c r="H35" s="458">
        <f>(20246000000/21201000000*J22)*0.6275</f>
        <v>7973869134.9099083</v>
      </c>
      <c r="I35" s="297">
        <f t="shared" ref="I35:I37" si="2">+D35+E35+F35+G35+H35</f>
        <v>68796864134.909912</v>
      </c>
      <c r="J35" s="361">
        <f>(+D35)/I35</f>
        <v>0.88121320299011896</v>
      </c>
      <c r="K35" s="361">
        <f>(+E35+F35+G35+H35)/I35</f>
        <v>0.11878679700988103</v>
      </c>
      <c r="M35" s="379"/>
      <c r="N35" s="379"/>
    </row>
    <row r="36" spans="1:14" ht="17.25">
      <c r="A36" s="95" t="str">
        <f t="shared" si="1"/>
        <v>Canadian Pacific Kansas City Limited  CPKC</v>
      </c>
      <c r="B36" s="82" t="str">
        <f t="shared" si="1"/>
        <v>CP</v>
      </c>
      <c r="C36" s="83" t="str">
        <f t="shared" si="1"/>
        <v>Railroad</v>
      </c>
      <c r="D36" s="298">
        <f>(+H23)*G23</f>
        <v>66090287999.999992</v>
      </c>
      <c r="E36" s="103">
        <f>(1/1)*I23</f>
        <v>0</v>
      </c>
      <c r="F36" s="365">
        <f>111000000*0.6275</f>
        <v>69652500</v>
      </c>
      <c r="H36" s="298">
        <f>(20740/22023*J23)*0.6275</f>
        <v>13702799246.242561</v>
      </c>
      <c r="I36" s="297">
        <f>+D36+E36+F36+G36+H36</f>
        <v>79862739746.242554</v>
      </c>
      <c r="J36" s="361">
        <f>(+D36)/I36</f>
        <v>0.82754846891049039</v>
      </c>
      <c r="K36" s="361">
        <f t="shared" ref="K36:K39" si="3">(+E36+F36+G36+H36)/I36</f>
        <v>0.17245153108950959</v>
      </c>
      <c r="M36" s="380"/>
      <c r="N36" s="380"/>
    </row>
    <row r="37" spans="1:14" ht="17.25">
      <c r="A37" s="95" t="str">
        <f t="shared" si="1"/>
        <v>CSX Corp</v>
      </c>
      <c r="B37" s="82" t="str">
        <f t="shared" si="1"/>
        <v>CSX</v>
      </c>
      <c r="C37" s="83" t="str">
        <f t="shared" si="1"/>
        <v>Railroad</v>
      </c>
      <c r="D37" s="298">
        <f>(+H24)*G24</f>
        <v>67425000000</v>
      </c>
      <c r="E37" s="103">
        <f>(1/1)*I24</f>
        <v>0</v>
      </c>
      <c r="F37" s="298">
        <f>546000000</f>
        <v>546000000</v>
      </c>
      <c r="H37" s="364">
        <f>(18873/17305)*J24</f>
        <v>20583075931.811615</v>
      </c>
      <c r="I37" s="297">
        <f t="shared" si="2"/>
        <v>88554075931.811615</v>
      </c>
      <c r="J37" s="361">
        <f>(+D37)/I37</f>
        <v>0.76139917096440124</v>
      </c>
      <c r="K37" s="361">
        <f t="shared" si="3"/>
        <v>0.23860082903559876</v>
      </c>
      <c r="M37" s="381"/>
      <c r="N37" s="380"/>
    </row>
    <row r="38" spans="1:14" ht="17.25">
      <c r="A38" s="290" t="str">
        <f t="shared" si="1"/>
        <v>Norfolk Southern</v>
      </c>
      <c r="B38" s="82" t="str">
        <f t="shared" si="1"/>
        <v>NSC</v>
      </c>
      <c r="C38" s="83" t="str">
        <f t="shared" si="1"/>
        <v>Railroad</v>
      </c>
      <c r="D38" s="298">
        <f>(+H25)*G25</f>
        <v>64794744215.280006</v>
      </c>
      <c r="E38" s="260">
        <f>(1/1)*I25</f>
        <v>0</v>
      </c>
      <c r="F38" s="298">
        <v>218000000</v>
      </c>
      <c r="H38" s="364">
        <f>(17087/15865)*J25</f>
        <v>18403124424.834541</v>
      </c>
      <c r="I38" s="297">
        <f>+D38+E38+F38+G38+H38</f>
        <v>83415868640.114548</v>
      </c>
      <c r="J38" s="361">
        <f>(+D38)/I38</f>
        <v>0.77676760155585467</v>
      </c>
      <c r="K38" s="361">
        <f>(+E38+F38+G38+H38)/I38</f>
        <v>0.22323239844414536</v>
      </c>
      <c r="M38" s="381"/>
      <c r="N38" s="380"/>
    </row>
    <row r="39" spans="1:14" ht="17.25">
      <c r="A39" s="95" t="str">
        <f t="shared" si="1"/>
        <v>Union Pacific Railroad</v>
      </c>
      <c r="B39" s="82" t="str">
        <f t="shared" si="1"/>
        <v>UNP</v>
      </c>
      <c r="C39" s="83" t="str">
        <f t="shared" si="1"/>
        <v>Railroad</v>
      </c>
      <c r="D39" s="298">
        <f>(+H26)*G26</f>
        <v>137229637886.87999</v>
      </c>
      <c r="E39" s="103">
        <f>(1/1)*I26</f>
        <v>0</v>
      </c>
      <c r="F39" s="298">
        <v>1008000000</v>
      </c>
      <c r="H39" s="364">
        <f>(21.2/25.3)*J26</f>
        <v>26658371541.501976</v>
      </c>
      <c r="I39" s="297">
        <f>+D39+E39+F39+G39+H39</f>
        <v>164896009428.38199</v>
      </c>
      <c r="J39" s="361">
        <f>(+D39)/I39</f>
        <v>0.83221927785027372</v>
      </c>
      <c r="K39" s="361">
        <f t="shared" si="3"/>
        <v>0.16778072214972611</v>
      </c>
      <c r="M39" s="381"/>
      <c r="N39" s="380"/>
    </row>
    <row r="40" spans="1:14" ht="18" thickBot="1">
      <c r="A40" s="104"/>
      <c r="B40" s="362"/>
      <c r="C40" s="99"/>
      <c r="D40" s="362"/>
      <c r="E40" s="99"/>
      <c r="F40" s="362"/>
      <c r="G40" s="385"/>
      <c r="H40" s="362"/>
      <c r="I40" s="362"/>
      <c r="J40" s="362"/>
      <c r="K40" s="362"/>
    </row>
    <row r="41" spans="1:14" ht="17.25">
      <c r="A41" s="8"/>
      <c r="B41" s="8"/>
      <c r="C41" s="8"/>
      <c r="D41" s="8"/>
      <c r="E41" s="8"/>
      <c r="F41" s="8"/>
      <c r="H41" s="8"/>
      <c r="I41" s="106" t="s">
        <v>46</v>
      </c>
      <c r="J41" s="108">
        <f>MAX(J35:J39)</f>
        <v>0.88121320299011896</v>
      </c>
      <c r="K41" s="108">
        <f>MAX(K35:K39)</f>
        <v>0.23860082903559876</v>
      </c>
    </row>
    <row r="42" spans="1:14" ht="17.25">
      <c r="A42" s="8"/>
      <c r="B42" s="8"/>
      <c r="C42" s="8"/>
      <c r="D42" s="8"/>
      <c r="E42" s="8" t="s">
        <v>0</v>
      </c>
      <c r="F42" s="8"/>
      <c r="H42" s="8" t="s">
        <v>0</v>
      </c>
      <c r="I42" s="286" t="s">
        <v>47</v>
      </c>
      <c r="J42" s="287">
        <f>MIN(J35:J39)</f>
        <v>0.76139917096440124</v>
      </c>
      <c r="K42" s="287">
        <f>MIN(K35:K39)</f>
        <v>0.11878679700988103</v>
      </c>
    </row>
    <row r="43" spans="1:14" ht="17.25">
      <c r="A43" s="8"/>
      <c r="B43" s="8"/>
      <c r="C43" s="8"/>
      <c r="D43" s="8"/>
      <c r="H43" s="8" t="s">
        <v>0</v>
      </c>
      <c r="I43" s="10" t="s">
        <v>18</v>
      </c>
      <c r="J43" s="107">
        <f>MEDIAN(J35:J39)</f>
        <v>0.82754846891049039</v>
      </c>
      <c r="K43" s="108">
        <f>MEDIAN(K35:K39)</f>
        <v>0.17245153108950959</v>
      </c>
    </row>
    <row r="44" spans="1:14" ht="17.25">
      <c r="A44" s="8"/>
      <c r="B44" s="8"/>
      <c r="C44" s="8"/>
      <c r="D44" s="8" t="s">
        <v>0</v>
      </c>
      <c r="H44" s="8" t="s">
        <v>0</v>
      </c>
      <c r="I44" s="10" t="s">
        <v>375</v>
      </c>
      <c r="J44" s="107">
        <f>AVERAGE(J35:J39)</f>
        <v>0.81582954445422773</v>
      </c>
      <c r="K44" s="108">
        <f>AVERAGE(K35:K39)</f>
        <v>0.18417045554577216</v>
      </c>
    </row>
    <row r="45" spans="1:14" ht="18" thickBot="1">
      <c r="A45" s="8"/>
      <c r="B45" s="8"/>
      <c r="C45" s="8"/>
      <c r="D45" s="8"/>
      <c r="H45" s="8"/>
      <c r="I45" s="8"/>
      <c r="J45" s="56"/>
      <c r="K45" s="56"/>
    </row>
    <row r="46" spans="1:14" ht="27" thickBot="1">
      <c r="A46" s="8"/>
      <c r="B46" s="8"/>
      <c r="C46" s="8"/>
      <c r="D46" s="8"/>
      <c r="H46" s="8"/>
      <c r="I46" s="167" t="s">
        <v>200</v>
      </c>
      <c r="J46" s="261">
        <v>0.82</v>
      </c>
      <c r="K46" s="262">
        <v>0.18</v>
      </c>
    </row>
    <row r="47" spans="1:14" ht="17.25">
      <c r="A47" s="8"/>
      <c r="B47" s="8"/>
      <c r="C47" s="8"/>
      <c r="D47" s="8"/>
      <c r="G47" s="8"/>
      <c r="H47" s="8"/>
      <c r="I47" s="56"/>
      <c r="J47" s="56" t="s">
        <v>0</v>
      </c>
      <c r="K47" s="8"/>
    </row>
    <row r="48" spans="1:14" ht="16.5">
      <c r="G48" s="8"/>
      <c r="H48" s="8"/>
      <c r="I48" s="8"/>
      <c r="J48" s="8"/>
      <c r="K48" s="8"/>
    </row>
    <row r="49" spans="1:11" ht="16.5">
      <c r="G49" s="8"/>
      <c r="H49" s="8"/>
      <c r="I49" s="8"/>
      <c r="J49" s="8"/>
      <c r="K49" s="8"/>
    </row>
    <row r="50" spans="1:11" ht="26.25">
      <c r="A50" s="18" t="s">
        <v>72</v>
      </c>
      <c r="B50" s="8"/>
      <c r="C50" s="68"/>
      <c r="D50" s="110"/>
      <c r="E50" s="291"/>
      <c r="H50" s="8"/>
      <c r="I50" s="8"/>
      <c r="J50" s="8"/>
      <c r="K50" s="8"/>
    </row>
    <row r="51" spans="1:11" ht="16.5">
      <c r="A51" s="79" t="s">
        <v>55</v>
      </c>
      <c r="B51" s="8"/>
      <c r="C51" s="68"/>
      <c r="D51" s="110"/>
      <c r="E51" s="291"/>
      <c r="H51" s="8"/>
      <c r="I51" s="8"/>
      <c r="J51" s="8"/>
      <c r="K51" s="8"/>
    </row>
    <row r="52" spans="1:11" ht="16.5">
      <c r="A52" s="8" t="s">
        <v>145</v>
      </c>
      <c r="B52" s="8"/>
      <c r="C52" s="8"/>
      <c r="D52" s="8"/>
    </row>
    <row r="53" spans="1:11" ht="16.5">
      <c r="A53" s="8" t="s">
        <v>406</v>
      </c>
      <c r="B53" s="8"/>
      <c r="C53" s="8"/>
      <c r="D53" s="8"/>
    </row>
    <row r="54" spans="1:11" ht="16.5">
      <c r="A54" s="8" t="s">
        <v>144</v>
      </c>
      <c r="B54" s="8"/>
      <c r="C54" s="8"/>
      <c r="D54" s="8"/>
    </row>
    <row r="55" spans="1:11" ht="16.5">
      <c r="A55" s="8" t="s">
        <v>407</v>
      </c>
      <c r="B55" s="8"/>
      <c r="C55" s="8"/>
      <c r="D55" s="8"/>
    </row>
    <row r="56" spans="1:11" ht="16.5">
      <c r="A56" s="8" t="s">
        <v>411</v>
      </c>
      <c r="B56" s="8"/>
      <c r="C56" s="8"/>
      <c r="D56" s="8"/>
    </row>
    <row r="57" spans="1:11" ht="16.5">
      <c r="A57" s="8" t="s">
        <v>0</v>
      </c>
      <c r="B57" s="8"/>
      <c r="C57" s="8"/>
      <c r="D57" s="8"/>
    </row>
    <row r="58" spans="1:11" ht="16.5">
      <c r="A58" s="8" t="s">
        <v>472</v>
      </c>
      <c r="B58" s="8"/>
      <c r="C58" s="8"/>
      <c r="D58" s="8"/>
    </row>
    <row r="59" spans="1:11" ht="16.5">
      <c r="A59" s="8"/>
      <c r="B59" s="8"/>
      <c r="C59" s="8"/>
      <c r="D59" s="8"/>
    </row>
    <row r="60" spans="1:11" ht="106.5" customHeight="1">
      <c r="A60" s="477" t="s">
        <v>489</v>
      </c>
      <c r="B60" s="8"/>
      <c r="C60" s="8"/>
      <c r="D60" s="8"/>
    </row>
    <row r="61" spans="1:11" ht="16.5">
      <c r="A61" s="8"/>
      <c r="B61" s="8"/>
      <c r="C61" s="8"/>
      <c r="D61" s="8"/>
    </row>
    <row r="62" spans="1:11" ht="26.25">
      <c r="A62" s="229" t="s">
        <v>284</v>
      </c>
      <c r="B62" s="8"/>
      <c r="C62" s="8"/>
      <c r="D62" s="8"/>
    </row>
    <row r="63" spans="1:11" ht="17.25" customHeight="1">
      <c r="A63" s="229"/>
      <c r="B63" s="8"/>
      <c r="C63" s="8"/>
      <c r="D63" s="8"/>
    </row>
    <row r="64" spans="1:11" ht="16.5">
      <c r="A64" s="113" t="s">
        <v>361</v>
      </c>
      <c r="B64" s="8"/>
      <c r="C64" s="8"/>
      <c r="D64" s="8"/>
    </row>
    <row r="65" spans="1:4" ht="16.5">
      <c r="A65" s="113" t="s">
        <v>362</v>
      </c>
      <c r="B65" s="8"/>
      <c r="C65" s="8"/>
      <c r="D65" s="8"/>
    </row>
    <row r="66" spans="1:4" ht="16.5">
      <c r="A66" s="113" t="s">
        <v>363</v>
      </c>
      <c r="B66" s="8"/>
      <c r="C66" s="8"/>
      <c r="D66" s="8"/>
    </row>
    <row r="67" spans="1:4" ht="16.5">
      <c r="A67" s="113" t="s">
        <v>364</v>
      </c>
      <c r="B67" s="8"/>
      <c r="C67" s="8"/>
      <c r="D67" s="8"/>
    </row>
    <row r="68" spans="1:4" ht="16.5">
      <c r="A68" s="113" t="s">
        <v>365</v>
      </c>
      <c r="B68" s="8"/>
      <c r="C68" s="8"/>
      <c r="D68" s="8"/>
    </row>
    <row r="69" spans="1:4" ht="20.25" customHeight="1">
      <c r="A69" s="113" t="s">
        <v>366</v>
      </c>
      <c r="B69" s="8"/>
      <c r="C69" s="114" t="s">
        <v>360</v>
      </c>
      <c r="D69" s="8"/>
    </row>
    <row r="70" spans="1:4" ht="16.5">
      <c r="A70" s="293"/>
      <c r="B70" s="8"/>
      <c r="C70" s="8"/>
      <c r="D70" s="8"/>
    </row>
    <row r="71" spans="1:4" ht="26.25">
      <c r="A71" s="229" t="s">
        <v>367</v>
      </c>
      <c r="B71" s="8"/>
      <c r="C71" s="8"/>
      <c r="D71" s="8"/>
    </row>
    <row r="72" spans="1:4" ht="23.25">
      <c r="A72" s="292"/>
    </row>
  </sheetData>
  <pageMargins left="0.25" right="0.25" top="0.75" bottom="0.75" header="0.3" footer="0.3"/>
  <pageSetup scale="37" orientation="landscape" r:id="rId1"/>
  <rowBreaks count="1" manualBreakCount="1">
    <brk id="46" max="11" man="1"/>
  </rowBreaks>
  <colBreaks count="1" manualBreakCount="1">
    <brk id="11" max="94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FF50-7DB7-41D1-AD2F-655311479817}">
  <sheetPr>
    <tabColor rgb="FF92D050"/>
    <pageSetUpPr fitToPage="1"/>
  </sheetPr>
  <dimension ref="A1:I56"/>
  <sheetViews>
    <sheetView view="pageBreakPreview" zoomScale="70" zoomScaleNormal="80" zoomScaleSheetLayoutView="70" zoomScalePageLayoutView="70" workbookViewId="0">
      <pane xSplit="1" topLeftCell="B1" activePane="topRight" state="frozen"/>
      <selection pane="topRight" activeCell="F4" sqref="F4:F5"/>
    </sheetView>
  </sheetViews>
  <sheetFormatPr defaultRowHeight="15"/>
  <cols>
    <col min="1" max="1" width="62.42578125" customWidth="1"/>
    <col min="2" max="2" width="11.5703125" bestFit="1" customWidth="1"/>
    <col min="3" max="3" width="20.42578125" bestFit="1" customWidth="1"/>
    <col min="4" max="4" width="30.140625" customWidth="1"/>
    <col min="5" max="5" width="28" customWidth="1"/>
    <col min="6" max="6" width="29.140625" customWidth="1"/>
    <col min="7" max="7" width="23.42578125" customWidth="1"/>
    <col min="8" max="8" width="12.85546875" customWidth="1"/>
    <col min="9" max="9" width="25.85546875" bestFit="1" customWidth="1"/>
    <col min="10" max="10" width="30.140625" bestFit="1" customWidth="1"/>
    <col min="11" max="11" width="9.140625" customWidth="1"/>
  </cols>
  <sheetData>
    <row r="1" spans="1:9" ht="26.25">
      <c r="A1" s="19" t="s">
        <v>1</v>
      </c>
      <c r="B1" s="8"/>
      <c r="C1" s="8"/>
      <c r="D1" s="8"/>
      <c r="E1" s="8"/>
      <c r="F1" s="8"/>
      <c r="G1" s="8"/>
      <c r="H1" s="8"/>
    </row>
    <row r="2" spans="1:9" ht="17.25">
      <c r="A2" s="20" t="s">
        <v>9</v>
      </c>
      <c r="B2" s="8"/>
      <c r="C2" s="8"/>
      <c r="D2" s="8"/>
      <c r="E2" s="8"/>
      <c r="F2" s="8"/>
      <c r="G2" s="8"/>
      <c r="H2" s="8"/>
    </row>
    <row r="3" spans="1:9" ht="16.5">
      <c r="A3" s="21" t="s">
        <v>457</v>
      </c>
      <c r="B3" s="8"/>
      <c r="C3" s="8"/>
      <c r="D3" s="8"/>
      <c r="E3" s="8"/>
      <c r="F3" s="8"/>
      <c r="G3" s="8"/>
      <c r="H3" s="8"/>
    </row>
    <row r="4" spans="1:9" ht="16.5">
      <c r="A4" s="21"/>
      <c r="B4" s="8"/>
      <c r="C4" s="8"/>
      <c r="D4" s="8"/>
      <c r="E4" s="8"/>
      <c r="F4" s="476" t="s">
        <v>0</v>
      </c>
      <c r="G4" s="8"/>
      <c r="H4" s="8"/>
    </row>
    <row r="5" spans="1:9" ht="16.5">
      <c r="B5" s="8"/>
      <c r="C5" s="8"/>
      <c r="D5" s="8"/>
      <c r="E5" s="22"/>
      <c r="F5" s="476" t="s">
        <v>0</v>
      </c>
      <c r="G5" s="8"/>
      <c r="H5" s="8" t="s">
        <v>0</v>
      </c>
    </row>
    <row r="6" spans="1:9" ht="16.5">
      <c r="A6" s="79"/>
      <c r="B6" s="29"/>
      <c r="C6" s="29"/>
      <c r="D6" s="29"/>
      <c r="E6" s="29"/>
      <c r="F6" s="29"/>
      <c r="G6" s="10"/>
      <c r="H6" s="78"/>
      <c r="I6" s="2"/>
    </row>
    <row r="7" spans="1:9" ht="16.5">
      <c r="A7" s="38"/>
      <c r="B7" s="38"/>
      <c r="C7" s="38"/>
      <c r="D7" s="38"/>
      <c r="E7" s="38"/>
      <c r="F7" s="38"/>
      <c r="G7" s="38"/>
      <c r="H7" s="38"/>
      <c r="I7" s="1"/>
    </row>
    <row r="8" spans="1:9" ht="17.25" thickBot="1">
      <c r="A8" s="38"/>
      <c r="B8" s="38"/>
      <c r="C8" s="38"/>
      <c r="D8" s="80"/>
      <c r="E8" s="24"/>
      <c r="F8" s="80"/>
      <c r="H8" s="38"/>
      <c r="I8" s="1"/>
    </row>
    <row r="9" spans="1:9" ht="27" thickBot="1">
      <c r="A9" s="23" t="str">
        <f>+'S&amp;D'!A12</f>
        <v>Railroad Carriers</v>
      </c>
      <c r="B9" s="38"/>
      <c r="C9" s="38"/>
      <c r="D9" s="38"/>
      <c r="E9" s="26" t="s">
        <v>277</v>
      </c>
      <c r="F9" s="38"/>
      <c r="H9" s="8"/>
    </row>
    <row r="10" spans="1:9" ht="21" thickBot="1">
      <c r="A10" s="25"/>
      <c r="B10" s="38"/>
      <c r="C10" s="38"/>
      <c r="D10" s="80"/>
      <c r="E10" s="31" t="s">
        <v>470</v>
      </c>
      <c r="F10" s="80"/>
      <c r="H10" s="8"/>
    </row>
    <row r="11" spans="1:9" ht="20.25">
      <c r="A11" s="25"/>
      <c r="B11" s="38"/>
      <c r="C11" s="38"/>
      <c r="D11" s="38"/>
      <c r="E11" s="29"/>
      <c r="F11" s="38"/>
      <c r="H11" s="8"/>
    </row>
    <row r="12" spans="1:9" ht="20.25">
      <c r="A12" s="25"/>
      <c r="B12" s="38"/>
      <c r="C12" s="38"/>
      <c r="D12" s="38"/>
      <c r="E12" s="29"/>
      <c r="F12" s="38"/>
      <c r="H12" s="8"/>
    </row>
    <row r="13" spans="1:9" ht="16.5">
      <c r="B13" s="38"/>
      <c r="C13" s="38"/>
      <c r="D13" s="38"/>
      <c r="E13" s="29"/>
      <c r="F13" s="38"/>
      <c r="H13" s="8"/>
    </row>
    <row r="14" spans="1:9" ht="20.25">
      <c r="A14" s="25"/>
      <c r="B14" s="38"/>
      <c r="C14" s="38"/>
      <c r="D14" s="38"/>
      <c r="E14" s="9" t="s">
        <v>0</v>
      </c>
      <c r="F14" s="38"/>
      <c r="H14" s="8"/>
    </row>
    <row r="15" spans="1:9" ht="17.25" thickBot="1">
      <c r="A15" s="36" t="s">
        <v>0</v>
      </c>
      <c r="B15" s="36" t="s">
        <v>0</v>
      </c>
      <c r="C15" s="36" t="s">
        <v>0</v>
      </c>
      <c r="D15" s="36"/>
      <c r="E15" s="36"/>
      <c r="F15" s="36"/>
      <c r="H15" s="8"/>
    </row>
    <row r="16" spans="1:9" ht="17.25">
      <c r="A16" s="214"/>
      <c r="B16" s="215"/>
      <c r="C16" s="216"/>
      <c r="D16" s="199" t="s">
        <v>0</v>
      </c>
      <c r="E16" s="200" t="s">
        <v>0</v>
      </c>
      <c r="F16" s="199" t="s">
        <v>0</v>
      </c>
      <c r="H16" s="8"/>
    </row>
    <row r="17" spans="1:8" ht="17.25">
      <c r="A17" s="81" t="s">
        <v>0</v>
      </c>
      <c r="B17" s="82" t="s">
        <v>3</v>
      </c>
      <c r="C17" s="83" t="s">
        <v>5</v>
      </c>
      <c r="D17" s="84" t="s">
        <v>0</v>
      </c>
      <c r="E17" s="201" t="s">
        <v>0</v>
      </c>
      <c r="F17" s="84" t="s">
        <v>269</v>
      </c>
      <c r="H17" s="8"/>
    </row>
    <row r="18" spans="1:8" ht="17.25">
      <c r="A18" s="81"/>
      <c r="B18" s="82" t="s">
        <v>4</v>
      </c>
      <c r="C18" s="83" t="s">
        <v>6</v>
      </c>
      <c r="D18" s="84" t="s">
        <v>278</v>
      </c>
      <c r="E18" s="201" t="s">
        <v>278</v>
      </c>
      <c r="F18" s="84" t="s">
        <v>124</v>
      </c>
      <c r="H18" s="8"/>
    </row>
    <row r="19" spans="1:8" ht="18" thickBot="1">
      <c r="A19" s="87" t="s">
        <v>2</v>
      </c>
      <c r="B19" s="88" t="s">
        <v>0</v>
      </c>
      <c r="C19" s="89" t="s">
        <v>0</v>
      </c>
      <c r="D19" s="249" t="s">
        <v>267</v>
      </c>
      <c r="E19" s="248" t="s">
        <v>61</v>
      </c>
      <c r="F19" s="88" t="s">
        <v>0</v>
      </c>
      <c r="H19" s="8"/>
    </row>
    <row r="20" spans="1:8" ht="16.5">
      <c r="A20" s="250" t="s">
        <v>7</v>
      </c>
      <c r="B20" s="231" t="s">
        <v>7</v>
      </c>
      <c r="C20" s="251" t="s">
        <v>7</v>
      </c>
      <c r="D20" s="231" t="s">
        <v>7</v>
      </c>
      <c r="E20" s="259" t="s">
        <v>268</v>
      </c>
      <c r="F20" s="93"/>
      <c r="H20" s="8"/>
    </row>
    <row r="21" spans="1:8" ht="17.25">
      <c r="A21" s="81"/>
      <c r="B21" s="82"/>
      <c r="C21" s="83"/>
      <c r="D21" s="82"/>
      <c r="E21" s="202"/>
      <c r="F21" s="82"/>
      <c r="H21" s="8"/>
    </row>
    <row r="22" spans="1:8" ht="17.25">
      <c r="A22" s="95" t="str">
        <f>+'S&amp;D'!A22</f>
        <v>Canadian National</v>
      </c>
      <c r="B22" s="73" t="str">
        <f>+'S&amp;D'!B22</f>
        <v>CNI</v>
      </c>
      <c r="C22" s="83" t="str">
        <f>+'S&amp;D'!C22</f>
        <v>Railroad</v>
      </c>
      <c r="D22" s="217">
        <f>+'S&amp;D'!D35</f>
        <v>60624705000</v>
      </c>
      <c r="E22" s="218">
        <f>21568000000*0.6275</f>
        <v>13533919999.999998</v>
      </c>
      <c r="F22" s="97">
        <f>+D22/E22</f>
        <v>4.4794638212727733</v>
      </c>
      <c r="H22" s="8"/>
    </row>
    <row r="23" spans="1:8" ht="17.25">
      <c r="A23" s="95" t="str">
        <f>+'S&amp;D'!A23</f>
        <v>Canadian Pacific Kansas City Limited  CPKC</v>
      </c>
      <c r="B23" s="73" t="str">
        <f>+'S&amp;D'!B23</f>
        <v>CP</v>
      </c>
      <c r="C23" s="83" t="str">
        <f>+'S&amp;D'!C23</f>
        <v>Railroad</v>
      </c>
      <c r="D23" s="217">
        <f>+'S&amp;D'!D36</f>
        <v>66090287999.999992</v>
      </c>
      <c r="E23" s="218">
        <f>45877000000*0.6275</f>
        <v>28787817499.999996</v>
      </c>
      <c r="F23" s="97">
        <f>+D23/E23</f>
        <v>2.2957727865268009</v>
      </c>
      <c r="H23" s="8"/>
    </row>
    <row r="24" spans="1:8" ht="17.25">
      <c r="A24" s="95" t="str">
        <f>+'S&amp;D'!A24</f>
        <v>CSX Corp</v>
      </c>
      <c r="B24" s="73" t="str">
        <f>+'S&amp;D'!B24</f>
        <v>CSX</v>
      </c>
      <c r="C24" s="83" t="str">
        <f>+'S&amp;D'!C24</f>
        <v>Railroad</v>
      </c>
      <c r="D24" s="217">
        <f>+'S&amp;D'!D37</f>
        <v>67425000000</v>
      </c>
      <c r="E24" s="218">
        <f>13160000000-5000000</f>
        <v>13155000000</v>
      </c>
      <c r="F24" s="97">
        <f t="shared" ref="F24:F26" si="0">+D24/E24</f>
        <v>5.1254275940706959</v>
      </c>
      <c r="H24" s="8"/>
    </row>
    <row r="25" spans="1:8" ht="17.25">
      <c r="A25" s="95" t="str">
        <f>+'S&amp;D'!A25</f>
        <v>Norfolk Southern</v>
      </c>
      <c r="B25" s="73" t="str">
        <f>+'S&amp;D'!B25</f>
        <v>NSC</v>
      </c>
      <c r="C25" s="83" t="str">
        <f>+'S&amp;D'!C25</f>
        <v>Railroad</v>
      </c>
      <c r="D25" s="217">
        <f>+'S&amp;D'!D38</f>
        <v>64794744215.280006</v>
      </c>
      <c r="E25" s="218">
        <v>15547000000</v>
      </c>
      <c r="F25" s="97">
        <f t="shared" si="0"/>
        <v>4.1676686315868015</v>
      </c>
      <c r="H25" s="8"/>
    </row>
    <row r="26" spans="1:8" ht="18" thickBot="1">
      <c r="A26" s="255" t="str">
        <f>+'S&amp;D'!A26</f>
        <v>Union Pacific Railroad</v>
      </c>
      <c r="B26" s="74" t="str">
        <f>+'S&amp;D'!B26</f>
        <v>UNP</v>
      </c>
      <c r="C26" s="89" t="str">
        <f>+'S&amp;D'!C26</f>
        <v>Railroad</v>
      </c>
      <c r="D26" s="256">
        <f>+'S&amp;D'!D39</f>
        <v>137229637886.87999</v>
      </c>
      <c r="E26" s="295">
        <v>18467000000</v>
      </c>
      <c r="F26" s="97">
        <f t="shared" si="0"/>
        <v>7.4310736929051817</v>
      </c>
      <c r="H26" s="8"/>
    </row>
    <row r="27" spans="1:8" ht="27" customHeight="1" thickBot="1">
      <c r="A27" s="104"/>
      <c r="B27" s="99"/>
      <c r="C27" s="99"/>
      <c r="D27" s="105"/>
      <c r="E27" s="294" t="s">
        <v>276</v>
      </c>
      <c r="F27" s="168">
        <f>AVERAGE(F22:F26)</f>
        <v>4.6998813052724504</v>
      </c>
      <c r="H27" s="8"/>
    </row>
    <row r="28" spans="1:8" ht="17.25">
      <c r="A28" s="98"/>
      <c r="B28" s="98"/>
      <c r="C28" s="98"/>
      <c r="D28" s="98"/>
      <c r="E28" s="211"/>
      <c r="F28" s="213"/>
      <c r="H28" s="8"/>
    </row>
    <row r="29" spans="1:8" ht="17.25">
      <c r="A29" s="98"/>
      <c r="B29" s="98"/>
      <c r="C29" s="98"/>
      <c r="D29" s="98"/>
      <c r="E29" s="211"/>
      <c r="F29" s="213"/>
      <c r="H29" s="8"/>
    </row>
    <row r="30" spans="1:8" ht="17.25">
      <c r="A30" s="98"/>
      <c r="B30" s="98"/>
      <c r="C30" s="98"/>
      <c r="D30" s="98"/>
      <c r="E30" s="211"/>
      <c r="F30" s="213"/>
      <c r="H30" s="8"/>
    </row>
    <row r="31" spans="1:8" ht="18" thickBot="1">
      <c r="A31" s="98"/>
      <c r="B31" s="98"/>
      <c r="C31" s="98"/>
      <c r="D31" s="98"/>
      <c r="E31" s="98"/>
      <c r="F31" s="98"/>
      <c r="H31" s="8"/>
    </row>
    <row r="32" spans="1:8" ht="17.25">
      <c r="A32" s="214"/>
      <c r="B32" s="215"/>
      <c r="C32" s="216"/>
      <c r="D32" s="199" t="s">
        <v>0</v>
      </c>
      <c r="E32" s="200" t="s">
        <v>0</v>
      </c>
      <c r="F32" s="199" t="s">
        <v>0</v>
      </c>
      <c r="H32" s="8"/>
    </row>
    <row r="33" spans="1:8" ht="17.25">
      <c r="A33" s="81" t="s">
        <v>0</v>
      </c>
      <c r="B33" s="82" t="s">
        <v>3</v>
      </c>
      <c r="C33" s="83" t="s">
        <v>5</v>
      </c>
      <c r="D33" s="84" t="s">
        <v>0</v>
      </c>
      <c r="E33" s="201" t="s">
        <v>0</v>
      </c>
      <c r="F33" s="84" t="s">
        <v>269</v>
      </c>
      <c r="H33" s="8"/>
    </row>
    <row r="34" spans="1:8" ht="17.25">
      <c r="A34" s="81"/>
      <c r="B34" s="82" t="s">
        <v>4</v>
      </c>
      <c r="C34" s="83" t="s">
        <v>6</v>
      </c>
      <c r="D34" s="84" t="s">
        <v>270</v>
      </c>
      <c r="E34" s="201" t="s">
        <v>270</v>
      </c>
      <c r="F34" s="84" t="s">
        <v>124</v>
      </c>
    </row>
    <row r="35" spans="1:8" ht="18" thickBot="1">
      <c r="A35" s="87" t="s">
        <v>2</v>
      </c>
      <c r="B35" s="88" t="s">
        <v>0</v>
      </c>
      <c r="C35" s="89" t="s">
        <v>0</v>
      </c>
      <c r="D35" s="249" t="s">
        <v>267</v>
      </c>
      <c r="E35" s="248" t="s">
        <v>61</v>
      </c>
      <c r="F35" s="88" t="s">
        <v>0</v>
      </c>
    </row>
    <row r="36" spans="1:8">
      <c r="A36" s="250" t="s">
        <v>7</v>
      </c>
      <c r="B36" s="231" t="s">
        <v>7</v>
      </c>
      <c r="C36" s="251" t="s">
        <v>7</v>
      </c>
      <c r="D36" s="231" t="s">
        <v>268</v>
      </c>
      <c r="E36" s="102" t="s">
        <v>268</v>
      </c>
      <c r="F36" s="93"/>
    </row>
    <row r="37" spans="1:8" ht="17.25">
      <c r="A37" s="81"/>
      <c r="B37" s="82"/>
      <c r="C37" s="83"/>
      <c r="D37" s="82"/>
      <c r="E37" s="202"/>
      <c r="F37" s="82"/>
    </row>
    <row r="38" spans="1:8" ht="17.25">
      <c r="A38" s="95" t="str">
        <f t="shared" ref="A38:C42" si="1">+A22</f>
        <v>Canadian National</v>
      </c>
      <c r="B38" s="73" t="str">
        <f t="shared" si="1"/>
        <v>CNI</v>
      </c>
      <c r="C38" s="83" t="str">
        <f t="shared" si="1"/>
        <v>Railroad</v>
      </c>
      <c r="D38" s="217">
        <f>+'S&amp;D'!H35</f>
        <v>7973869134.9099083</v>
      </c>
      <c r="E38" s="218">
        <f>+'S&amp;D'!J22</f>
        <v>13306764999.999998</v>
      </c>
      <c r="F38" s="97">
        <f>+D38/E38</f>
        <v>0.59923423423423416</v>
      </c>
    </row>
    <row r="39" spans="1:8" ht="17.25">
      <c r="A39" s="95" t="str">
        <f t="shared" si="1"/>
        <v>Canadian Pacific Kansas City Limited  CPKC</v>
      </c>
      <c r="B39" s="73" t="str">
        <f t="shared" si="1"/>
        <v>CP</v>
      </c>
      <c r="C39" s="83" t="str">
        <f t="shared" si="1"/>
        <v>Railroad</v>
      </c>
      <c r="D39" s="217">
        <f>+'S&amp;D'!H36</f>
        <v>13702799246.242561</v>
      </c>
      <c r="E39" s="218">
        <f>+'S&amp;D'!J23</f>
        <v>23188000000</v>
      </c>
      <c r="F39" s="97">
        <f t="shared" ref="F39:F42" si="2">+D39/E39</f>
        <v>0.59094355900649309</v>
      </c>
    </row>
    <row r="40" spans="1:8" ht="17.25">
      <c r="A40" s="95" t="str">
        <f t="shared" si="1"/>
        <v>CSX Corp</v>
      </c>
      <c r="B40" s="73" t="str">
        <f t="shared" si="1"/>
        <v>CSX</v>
      </c>
      <c r="C40" s="83" t="str">
        <f t="shared" si="1"/>
        <v>Railroad</v>
      </c>
      <c r="D40" s="217">
        <f>+'S&amp;D'!H37</f>
        <v>20583075931.811615</v>
      </c>
      <c r="E40" s="218">
        <f>+'S&amp;D'!J24</f>
        <v>18873000000</v>
      </c>
      <c r="F40" s="97">
        <f t="shared" si="2"/>
        <v>1.0906096503900606</v>
      </c>
    </row>
    <row r="41" spans="1:8" ht="17.25">
      <c r="A41" s="95" t="str">
        <f t="shared" si="1"/>
        <v>Norfolk Southern</v>
      </c>
      <c r="B41" s="73" t="str">
        <f t="shared" si="1"/>
        <v>NSC</v>
      </c>
      <c r="C41" s="83" t="str">
        <f t="shared" si="1"/>
        <v>Railroad</v>
      </c>
      <c r="D41" s="217">
        <f>+'S&amp;D'!H38</f>
        <v>18403124424.834541</v>
      </c>
      <c r="E41" s="218">
        <f>+'S&amp;D'!J25</f>
        <v>17087000000</v>
      </c>
      <c r="F41" s="97">
        <f t="shared" si="2"/>
        <v>1.0770248975732746</v>
      </c>
    </row>
    <row r="42" spans="1:8" ht="18" thickBot="1">
      <c r="A42" s="255" t="str">
        <f t="shared" si="1"/>
        <v>Union Pacific Railroad</v>
      </c>
      <c r="B42" s="74" t="str">
        <f t="shared" si="1"/>
        <v>UNP</v>
      </c>
      <c r="C42" s="89" t="str">
        <f t="shared" si="1"/>
        <v>Railroad</v>
      </c>
      <c r="D42" s="256">
        <f>+'S&amp;D'!H39</f>
        <v>26658371541.501976</v>
      </c>
      <c r="E42" s="218">
        <f>+'S&amp;D'!J26</f>
        <v>31814000000</v>
      </c>
      <c r="F42" s="97">
        <f t="shared" si="2"/>
        <v>0.83794466403162049</v>
      </c>
    </row>
    <row r="43" spans="1:8" ht="27.75" customHeight="1" thickBot="1">
      <c r="A43" s="252"/>
      <c r="B43" s="129"/>
      <c r="C43" s="129"/>
      <c r="D43" s="253"/>
      <c r="E43" s="254" t="s">
        <v>276</v>
      </c>
      <c r="F43" s="168">
        <f>AVERAGE(F38:F42)</f>
        <v>0.83915140104713648</v>
      </c>
    </row>
    <row r="48" spans="1:8">
      <c r="C48" s="203" t="s">
        <v>271</v>
      </c>
      <c r="D48" s="203" t="s">
        <v>272</v>
      </c>
      <c r="E48" s="203"/>
    </row>
    <row r="49" spans="1:6">
      <c r="A49" s="205"/>
      <c r="B49" s="205"/>
      <c r="C49" s="204" t="s">
        <v>35</v>
      </c>
      <c r="D49" s="204" t="s">
        <v>273</v>
      </c>
      <c r="E49" s="204" t="s">
        <v>274</v>
      </c>
    </row>
    <row r="50" spans="1:6" ht="17.25">
      <c r="A50" s="83" t="s">
        <v>39</v>
      </c>
      <c r="B50" s="119" t="s">
        <v>0</v>
      </c>
      <c r="C50" s="119">
        <f>+'Yield CapRate'!C23</f>
        <v>0.82</v>
      </c>
      <c r="D50" s="209">
        <f>+F27</f>
        <v>4.6998813052724504</v>
      </c>
      <c r="E50" s="210">
        <f>+C50*D50</f>
        <v>3.8539026703234089</v>
      </c>
      <c r="F50" s="120" t="s">
        <v>0</v>
      </c>
    </row>
    <row r="51" spans="1:6" ht="17.25">
      <c r="A51" s="206" t="s">
        <v>41</v>
      </c>
      <c r="B51" s="207" t="str">
        <f>'S&amp;D'!J32</f>
        <v xml:space="preserve"> </v>
      </c>
      <c r="C51" s="207">
        <f>+'Yield CapRate'!C25</f>
        <v>0.18</v>
      </c>
      <c r="D51" s="208">
        <f>+F43</f>
        <v>0.83915140104713648</v>
      </c>
      <c r="E51" s="208">
        <f>+C51*D51</f>
        <v>0.15104725218848455</v>
      </c>
      <c r="F51" s="120" t="s">
        <v>0</v>
      </c>
    </row>
    <row r="52" spans="1:6">
      <c r="D52" s="211" t="s">
        <v>275</v>
      </c>
      <c r="E52" s="212">
        <f>+E50+E51</f>
        <v>4.0049499225118934</v>
      </c>
    </row>
    <row r="55" spans="1:6" ht="20.25">
      <c r="A55" s="25" t="s">
        <v>380</v>
      </c>
    </row>
    <row r="56" spans="1:6" ht="19.5" customHeight="1">
      <c r="A56" s="25" t="s">
        <v>347</v>
      </c>
    </row>
  </sheetData>
  <pageMargins left="0.25" right="0.25" top="0.75" bottom="0.75" header="0.3" footer="0.3"/>
  <pageSetup scale="52" orientation="landscape" r:id="rId1"/>
  <rowBreaks count="1" manualBreakCount="1">
    <brk id="31" max="6" man="1"/>
  </rowBreaks>
  <colBreaks count="1" manualBreakCount="1">
    <brk id="8" max="71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145E-BF36-4A2C-868C-9B0DC0104C72}">
  <sheetPr>
    <tabColor rgb="FF92D050"/>
  </sheetPr>
  <dimension ref="A1:L73"/>
  <sheetViews>
    <sheetView view="pageBreakPreview" topLeftCell="A30" zoomScale="70" zoomScaleNormal="80" zoomScaleSheetLayoutView="70" workbookViewId="0">
      <selection activeCell="H45" activeCellId="1" sqref="H7 H45"/>
    </sheetView>
  </sheetViews>
  <sheetFormatPr defaultRowHeight="15"/>
  <cols>
    <col min="1" max="1" width="41" customWidth="1"/>
    <col min="2" max="2" width="10.85546875" bestFit="1" customWidth="1"/>
    <col min="3" max="3" width="10.7109375" customWidth="1"/>
    <col min="4" max="4" width="28.5703125" customWidth="1"/>
    <col min="5" max="5" width="22.28515625" customWidth="1"/>
    <col min="6" max="6" width="26.5703125" customWidth="1"/>
    <col min="7" max="7" width="26.42578125" customWidth="1"/>
    <col min="8" max="8" width="23.85546875" customWidth="1"/>
    <col min="9" max="9" width="15" customWidth="1"/>
    <col min="10" max="10" width="14.140625" bestFit="1" customWidth="1"/>
    <col min="11" max="11" width="16.7109375" customWidth="1"/>
    <col min="12" max="12" width="23.140625" customWidth="1"/>
  </cols>
  <sheetData>
    <row r="1" spans="1:12" ht="26.25">
      <c r="A1" s="19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7.25">
      <c r="A2" s="20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6.5">
      <c r="A3" s="21" t="s">
        <v>457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6.5">
      <c r="A4" s="21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6.5">
      <c r="A5" s="21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6.5">
      <c r="A6" s="21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7.25" thickBot="1">
      <c r="A7" s="8"/>
      <c r="B7" s="8"/>
      <c r="C7" s="8"/>
      <c r="D7" s="8"/>
      <c r="E7" s="8"/>
      <c r="F7" s="24"/>
      <c r="G7" s="24"/>
      <c r="H7" s="478" t="s">
        <v>0</v>
      </c>
      <c r="I7" s="8"/>
      <c r="J7" s="8"/>
      <c r="K7" s="8"/>
      <c r="L7" s="8"/>
    </row>
    <row r="8" spans="1:12" ht="27" thickBot="1">
      <c r="A8" s="223" t="str">
        <f>+'S&amp;D'!A12</f>
        <v>Railroad Carriers</v>
      </c>
      <c r="B8" s="224"/>
      <c r="C8" s="160"/>
      <c r="D8" s="8"/>
      <c r="E8" s="8"/>
      <c r="F8" s="8"/>
      <c r="G8" s="26" t="s">
        <v>76</v>
      </c>
      <c r="H8" s="8"/>
      <c r="I8" s="8"/>
      <c r="J8" s="8"/>
      <c r="K8" s="8"/>
      <c r="L8" s="8"/>
    </row>
    <row r="9" spans="1:12" ht="20.25">
      <c r="A9" s="25"/>
      <c r="B9" s="8"/>
      <c r="C9" s="8"/>
      <c r="D9" s="8"/>
      <c r="E9" s="8"/>
      <c r="F9" s="8"/>
      <c r="G9" s="83" t="s">
        <v>77</v>
      </c>
      <c r="H9" s="8"/>
      <c r="I9" s="8"/>
      <c r="J9" s="8"/>
      <c r="K9" s="8"/>
      <c r="L9" s="8"/>
    </row>
    <row r="10" spans="1:12" ht="18" customHeight="1" thickBot="1">
      <c r="A10" s="35" t="s">
        <v>0</v>
      </c>
      <c r="B10" s="35" t="s">
        <v>0</v>
      </c>
      <c r="C10" s="35" t="s">
        <v>0</v>
      </c>
      <c r="D10" s="8"/>
      <c r="E10" s="8"/>
      <c r="F10" s="28" t="s">
        <v>0</v>
      </c>
      <c r="G10" s="31" t="s">
        <v>470</v>
      </c>
      <c r="H10" s="28" t="s">
        <v>0</v>
      </c>
      <c r="I10" s="35" t="s">
        <v>0</v>
      </c>
      <c r="J10" s="8"/>
      <c r="K10" s="8"/>
      <c r="L10" s="8"/>
    </row>
    <row r="11" spans="1:12" ht="18" customHeight="1">
      <c r="A11" s="35"/>
      <c r="B11" s="35"/>
      <c r="C11" s="35"/>
      <c r="D11" s="8"/>
      <c r="E11" s="8"/>
      <c r="J11" s="8"/>
      <c r="K11" s="8"/>
      <c r="L11" s="8"/>
    </row>
    <row r="12" spans="1:12" ht="18" customHeight="1">
      <c r="A12" s="35"/>
      <c r="B12" s="35"/>
      <c r="C12" s="35"/>
      <c r="D12" s="8" t="s">
        <v>0</v>
      </c>
      <c r="E12" s="8" t="s">
        <v>0</v>
      </c>
      <c r="G12" s="9" t="s">
        <v>0</v>
      </c>
      <c r="J12" s="8"/>
      <c r="K12" s="8"/>
      <c r="L12" s="8" t="s">
        <v>0</v>
      </c>
    </row>
    <row r="13" spans="1:12" ht="17.25" thickBot="1">
      <c r="A13" s="28"/>
      <c r="B13" s="28"/>
      <c r="C13" s="28"/>
      <c r="D13" s="28"/>
      <c r="E13" s="31"/>
      <c r="F13" s="28"/>
      <c r="G13" s="28"/>
      <c r="H13" s="28"/>
      <c r="I13" s="28"/>
      <c r="J13" s="24"/>
      <c r="K13" s="24"/>
      <c r="L13" s="24"/>
    </row>
    <row r="14" spans="1:12" ht="15" customHeight="1" thickBot="1">
      <c r="A14" s="28" t="s">
        <v>24</v>
      </c>
      <c r="B14" s="28" t="s">
        <v>89</v>
      </c>
      <c r="C14" s="28" t="s">
        <v>90</v>
      </c>
      <c r="D14" s="36" t="s">
        <v>91</v>
      </c>
      <c r="E14" s="28" t="s">
        <v>92</v>
      </c>
      <c r="F14" s="28" t="s">
        <v>93</v>
      </c>
      <c r="G14" s="28" t="s">
        <v>94</v>
      </c>
      <c r="H14" s="28" t="s">
        <v>95</v>
      </c>
      <c r="I14" s="28" t="s">
        <v>96</v>
      </c>
      <c r="J14" s="28" t="s">
        <v>97</v>
      </c>
      <c r="K14" s="28" t="s">
        <v>98</v>
      </c>
      <c r="L14" s="28" t="s">
        <v>106</v>
      </c>
    </row>
    <row r="15" spans="1:12" ht="16.5">
      <c r="A15" s="29" t="s">
        <v>0</v>
      </c>
      <c r="B15" s="29" t="s">
        <v>3</v>
      </c>
      <c r="C15" s="29" t="s">
        <v>78</v>
      </c>
      <c r="D15" s="29" t="s">
        <v>81</v>
      </c>
      <c r="E15" s="29" t="s">
        <v>81</v>
      </c>
      <c r="F15" s="29" t="s">
        <v>82</v>
      </c>
      <c r="G15" s="29" t="s">
        <v>85</v>
      </c>
      <c r="H15" s="29" t="s">
        <v>87</v>
      </c>
      <c r="I15" s="29" t="s">
        <v>109</v>
      </c>
      <c r="J15" s="29" t="s">
        <v>109</v>
      </c>
      <c r="K15" s="29" t="s">
        <v>102</v>
      </c>
      <c r="L15" s="29" t="s">
        <v>104</v>
      </c>
    </row>
    <row r="16" spans="1:12" ht="17.25" thickBot="1">
      <c r="A16" s="31" t="s">
        <v>2</v>
      </c>
      <c r="B16" s="31" t="s">
        <v>4</v>
      </c>
      <c r="C16" s="31" t="s">
        <v>79</v>
      </c>
      <c r="D16" s="31" t="s">
        <v>84</v>
      </c>
      <c r="E16" s="31" t="s">
        <v>83</v>
      </c>
      <c r="F16" s="31" t="s">
        <v>19</v>
      </c>
      <c r="G16" s="31" t="s">
        <v>86</v>
      </c>
      <c r="H16" s="31" t="s">
        <v>88</v>
      </c>
      <c r="I16" s="31" t="s">
        <v>0</v>
      </c>
      <c r="J16" s="31" t="s">
        <v>0</v>
      </c>
      <c r="K16" s="31" t="s">
        <v>103</v>
      </c>
      <c r="L16" s="31" t="s">
        <v>85</v>
      </c>
    </row>
    <row r="17" spans="1:12">
      <c r="A17" s="37" t="s">
        <v>7</v>
      </c>
      <c r="B17" s="37" t="s">
        <v>7</v>
      </c>
      <c r="C17" s="37" t="s">
        <v>80</v>
      </c>
      <c r="D17" s="37" t="s">
        <v>232</v>
      </c>
      <c r="E17" s="37" t="s">
        <v>232</v>
      </c>
      <c r="F17" s="37" t="s">
        <v>107</v>
      </c>
      <c r="G17" s="37" t="s">
        <v>231</v>
      </c>
      <c r="H17" s="37" t="s">
        <v>99</v>
      </c>
      <c r="I17" s="37" t="s">
        <v>100</v>
      </c>
      <c r="J17" s="37" t="s">
        <v>101</v>
      </c>
      <c r="K17" s="37" t="s">
        <v>108</v>
      </c>
      <c r="L17" s="37" t="s">
        <v>105</v>
      </c>
    </row>
    <row r="18" spans="1:12" ht="16.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6.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22.5" customHeight="1">
      <c r="A20" s="56" t="str">
        <f>+'S&amp;D'!A22</f>
        <v>Canadian National</v>
      </c>
      <c r="B20" s="83" t="str">
        <f>+'S&amp;D'!B22</f>
        <v>CNI</v>
      </c>
      <c r="C20" s="59">
        <f>+'Growth &amp; Inflation Rates'!$D$56</f>
        <v>2.2800000000000001E-2</v>
      </c>
      <c r="D20" s="257">
        <f>67667000000*0.6275</f>
        <v>42461042500</v>
      </c>
      <c r="E20" s="257">
        <f>66922000000*0.6948</f>
        <v>46497405600</v>
      </c>
      <c r="F20" s="115">
        <f>(D20+E20)/2</f>
        <v>44479224050</v>
      </c>
      <c r="G20" s="115">
        <f>1938000000*0.6275</f>
        <v>1216095000</v>
      </c>
      <c r="H20" s="14">
        <f>+F20/G20</f>
        <v>36.575451794473295</v>
      </c>
      <c r="I20" s="39">
        <f>+C20*H20</f>
        <v>0.83392030091399116</v>
      </c>
      <c r="J20" s="40">
        <f>1/(1+C20)^H20</f>
        <v>0.43842975035270904</v>
      </c>
      <c r="K20" s="116">
        <f>(G20*I20)/(1-J20)</f>
        <v>1805876128.5466046</v>
      </c>
      <c r="L20" s="117">
        <f>+K20/G20</f>
        <v>1.4849794864271333</v>
      </c>
    </row>
    <row r="21" spans="1:12" ht="22.5" customHeight="1">
      <c r="A21" s="56" t="str">
        <f>+'S&amp;D'!A23</f>
        <v>Canadian Pacific Kansas City Limited  CPKC</v>
      </c>
      <c r="B21" s="83" t="str">
        <f>+'S&amp;D'!B23</f>
        <v>CP</v>
      </c>
      <c r="C21" s="59">
        <f>+'Growth &amp; Inflation Rates'!$D$56</f>
        <v>2.2800000000000001E-2</v>
      </c>
      <c r="D21" s="257">
        <f>67648000000*0.6275</f>
        <v>42449120000</v>
      </c>
      <c r="E21" s="257">
        <f>67489000000*0.6948</f>
        <v>46891357200</v>
      </c>
      <c r="F21" s="115">
        <f t="shared" ref="F21:F24" si="0">(D21+E21)/2</f>
        <v>44670238600</v>
      </c>
      <c r="G21" s="115">
        <f>2019000000*0.6275</f>
        <v>1266922500</v>
      </c>
      <c r="H21" s="14">
        <f t="shared" ref="H21:H24" si="1">+F21/G21</f>
        <v>35.258856480960752</v>
      </c>
      <c r="I21" s="39">
        <f t="shared" ref="I21:I24" si="2">+C21*H21</f>
        <v>0.80390192776590519</v>
      </c>
      <c r="J21" s="40">
        <f t="shared" ref="J21:J24" si="3">1/(1+C21)^H21</f>
        <v>0.45163795414227154</v>
      </c>
      <c r="K21" s="116">
        <f t="shared" ref="K21:K24" si="4">(G21*I21)/(1-J21)</f>
        <v>1857315705.5151901</v>
      </c>
      <c r="L21" s="117">
        <f t="shared" ref="L21:L24" si="5">+K21/G21</f>
        <v>1.4660057781870557</v>
      </c>
    </row>
    <row r="22" spans="1:12" ht="22.5" customHeight="1">
      <c r="A22" s="56" t="str">
        <f>+'S&amp;D'!A24</f>
        <v>CSX Corp</v>
      </c>
      <c r="B22" s="83" t="str">
        <f>+'S&amp;D'!B24</f>
        <v>CSX</v>
      </c>
      <c r="C22" s="59">
        <f>+'Growth &amp; Inflation Rates'!$D$56</f>
        <v>2.2800000000000001E-2</v>
      </c>
      <c r="D22" s="257">
        <v>62191000000</v>
      </c>
      <c r="E22" s="257">
        <v>52191000000</v>
      </c>
      <c r="F22" s="115">
        <f t="shared" si="0"/>
        <v>57191000000</v>
      </c>
      <c r="G22" s="115">
        <v>1680000000</v>
      </c>
      <c r="H22" s="14">
        <f t="shared" si="1"/>
        <v>34.042261904761908</v>
      </c>
      <c r="I22" s="39">
        <f t="shared" si="2"/>
        <v>0.77616357142857151</v>
      </c>
      <c r="J22" s="40">
        <f t="shared" si="3"/>
        <v>0.46419639943621305</v>
      </c>
      <c r="K22" s="116">
        <f t="shared" si="4"/>
        <v>2433643220.4411168</v>
      </c>
      <c r="L22" s="117">
        <f t="shared" si="5"/>
        <v>1.4485971550244743</v>
      </c>
    </row>
    <row r="23" spans="1:12" ht="22.5" customHeight="1">
      <c r="A23" s="56" t="str">
        <f>+'S&amp;D'!A25</f>
        <v>Norfolk Southern</v>
      </c>
      <c r="B23" s="83" t="str">
        <f>+'S&amp;D'!B25</f>
        <v>NSC</v>
      </c>
      <c r="C23" s="59">
        <f>+'Growth &amp; Inflation Rates'!$D$56</f>
        <v>2.2800000000000001E-2</v>
      </c>
      <c r="D23" s="257">
        <f>36479000000+14617000000</f>
        <v>51096000000</v>
      </c>
      <c r="E23" s="257">
        <v>49788000000</v>
      </c>
      <c r="F23" s="115">
        <f t="shared" si="0"/>
        <v>50442000000</v>
      </c>
      <c r="G23" s="115">
        <v>1393000000</v>
      </c>
      <c r="H23" s="14">
        <f t="shared" si="1"/>
        <v>36.211055276381913</v>
      </c>
      <c r="I23" s="39">
        <f t="shared" si="2"/>
        <v>0.82561206030150769</v>
      </c>
      <c r="J23" s="40">
        <f t="shared" si="3"/>
        <v>0.44204625975543632</v>
      </c>
      <c r="K23" s="116">
        <f t="shared" si="4"/>
        <v>2061241850.4370906</v>
      </c>
      <c r="L23" s="117">
        <f t="shared" si="5"/>
        <v>1.4797141783467986</v>
      </c>
    </row>
    <row r="24" spans="1:12" ht="22.5" customHeight="1">
      <c r="A24" s="56" t="str">
        <f>+'S&amp;D'!A26</f>
        <v>Union Pacific Railroad</v>
      </c>
      <c r="B24" s="83" t="str">
        <f>+'S&amp;D'!B26</f>
        <v>UNP</v>
      </c>
      <c r="C24" s="59">
        <f>+'Growth &amp; Inflation Rates'!$D$56</f>
        <v>2.2800000000000001E-2</v>
      </c>
      <c r="D24" s="257">
        <v>83840000000</v>
      </c>
      <c r="E24" s="257">
        <v>83840000000</v>
      </c>
      <c r="F24" s="115">
        <f t="shared" si="0"/>
        <v>83840000000</v>
      </c>
      <c r="G24" s="115">
        <v>2465000000</v>
      </c>
      <c r="H24" s="14">
        <f t="shared" si="1"/>
        <v>34.012170385395535</v>
      </c>
      <c r="I24" s="39">
        <f t="shared" si="2"/>
        <v>0.77547748478701828</v>
      </c>
      <c r="J24" s="40">
        <f t="shared" si="3"/>
        <v>0.4645114088204409</v>
      </c>
      <c r="K24" s="116">
        <f t="shared" si="4"/>
        <v>3569734316.4478774</v>
      </c>
      <c r="L24" s="117">
        <f t="shared" si="5"/>
        <v>1.4481680796948793</v>
      </c>
    </row>
    <row r="25" spans="1:12" ht="22.5" customHeight="1" thickBot="1">
      <c r="A25" s="63"/>
      <c r="B25" s="63"/>
      <c r="C25" s="41"/>
      <c r="D25" s="41"/>
      <c r="E25" s="41"/>
      <c r="F25" s="41"/>
      <c r="G25" s="41"/>
      <c r="H25" s="41"/>
      <c r="I25" s="41" t="s">
        <v>45</v>
      </c>
      <c r="J25" s="41"/>
      <c r="K25" s="41"/>
      <c r="L25" s="41"/>
    </row>
    <row r="26" spans="1:12" ht="22.5" customHeight="1" thickTop="1">
      <c r="A26" s="8"/>
      <c r="B26" s="8"/>
      <c r="C26" s="42" t="s">
        <v>0</v>
      </c>
      <c r="D26" s="42" t="s">
        <v>0</v>
      </c>
      <c r="E26" s="29" t="s">
        <v>0</v>
      </c>
      <c r="F26" s="29"/>
      <c r="G26" s="42" t="s">
        <v>0</v>
      </c>
      <c r="H26" s="29"/>
      <c r="I26" s="42" t="s">
        <v>0</v>
      </c>
      <c r="J26" s="42" t="s">
        <v>0</v>
      </c>
      <c r="K26" s="10" t="s">
        <v>46</v>
      </c>
      <c r="L26" s="46">
        <f>MAX(L20:L24)</f>
        <v>1.4849794864271333</v>
      </c>
    </row>
    <row r="27" spans="1:12" ht="22.5" customHeight="1">
      <c r="B27" s="8"/>
      <c r="C27" s="42"/>
      <c r="D27" s="42"/>
      <c r="E27" s="29"/>
      <c r="F27" s="29"/>
      <c r="G27" s="42"/>
      <c r="H27" s="29"/>
      <c r="I27" s="42"/>
      <c r="J27" s="42"/>
      <c r="K27" s="284" t="s">
        <v>47</v>
      </c>
      <c r="L27" s="285">
        <f>MIN(L20:L24)</f>
        <v>1.4481680796948793</v>
      </c>
    </row>
    <row r="28" spans="1:12" ht="22.5" customHeight="1">
      <c r="B28" s="8"/>
      <c r="C28" s="8"/>
      <c r="D28" s="8"/>
      <c r="E28" s="8"/>
      <c r="F28" s="8"/>
      <c r="G28" s="8"/>
      <c r="H28" s="8"/>
      <c r="I28" s="8"/>
      <c r="J28" s="8"/>
      <c r="K28" s="10" t="s">
        <v>18</v>
      </c>
      <c r="L28" s="48">
        <f>MEDIAN(L20:L24)</f>
        <v>1.4660057781870557</v>
      </c>
    </row>
    <row r="29" spans="1:12" ht="22.5" customHeight="1">
      <c r="A29" s="8" t="s">
        <v>0</v>
      </c>
      <c r="B29" s="8"/>
      <c r="C29" s="8"/>
      <c r="D29" s="8"/>
      <c r="E29" s="8"/>
      <c r="F29" s="8"/>
      <c r="G29" s="8"/>
      <c r="H29" s="8"/>
      <c r="I29" s="8"/>
      <c r="J29" s="8"/>
      <c r="K29" s="10" t="s">
        <v>375</v>
      </c>
      <c r="L29" s="48">
        <f>AVERAGE(L20:L24)</f>
        <v>1.4654929355360682</v>
      </c>
    </row>
    <row r="30" spans="1:12" ht="22.5" customHeight="1" thickBot="1">
      <c r="A30" s="8"/>
      <c r="B30" s="8"/>
      <c r="C30" s="8"/>
      <c r="D30" s="8"/>
      <c r="E30" s="8"/>
      <c r="F30" s="8"/>
      <c r="G30" s="8" t="s">
        <v>0</v>
      </c>
      <c r="H30" s="8"/>
      <c r="I30" s="8"/>
      <c r="J30" s="8"/>
      <c r="K30" s="8"/>
      <c r="L30" s="8"/>
    </row>
    <row r="31" spans="1:12" ht="22.5" customHeight="1" thickBot="1">
      <c r="A31" s="8"/>
      <c r="B31" s="8"/>
      <c r="C31" s="8"/>
      <c r="D31" s="8"/>
      <c r="E31" s="8"/>
      <c r="F31" s="8"/>
      <c r="G31" s="8"/>
      <c r="H31" s="8"/>
      <c r="I31" s="8"/>
      <c r="J31" s="8"/>
      <c r="K31" s="166" t="s">
        <v>200</v>
      </c>
      <c r="L31" s="348">
        <v>1.4655</v>
      </c>
    </row>
    <row r="32" spans="1:12" ht="16.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6.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6.5">
      <c r="A34" s="8" t="s">
        <v>72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6.5">
      <c r="A35" s="8" t="s">
        <v>243</v>
      </c>
    </row>
    <row r="36" spans="1:12" ht="16.5">
      <c r="A36" s="8"/>
    </row>
    <row r="37" spans="1:12" ht="16.5">
      <c r="A37" s="8" t="s">
        <v>346</v>
      </c>
    </row>
    <row r="38" spans="1:12" ht="20.25">
      <c r="A38" s="195"/>
      <c r="B38" s="195"/>
      <c r="C38" s="195"/>
      <c r="D38" s="195"/>
      <c r="E38" s="195"/>
      <c r="F38" s="195"/>
      <c r="G38" s="195"/>
      <c r="H38" s="195"/>
      <c r="I38" s="195"/>
      <c r="J38" s="195"/>
      <c r="K38" s="195"/>
      <c r="L38" s="195"/>
    </row>
    <row r="39" spans="1:12" ht="26.25">
      <c r="A39" s="19" t="s">
        <v>1</v>
      </c>
      <c r="B39" s="8"/>
      <c r="C39" s="8"/>
      <c r="D39" s="8"/>
      <c r="E39" s="8"/>
      <c r="F39" s="8"/>
      <c r="G39" s="8"/>
      <c r="H39" s="8"/>
      <c r="I39" s="8"/>
      <c r="J39" s="8"/>
      <c r="K39" s="195"/>
      <c r="L39" s="195"/>
    </row>
    <row r="40" spans="1:12" ht="20.25">
      <c r="A40" s="20" t="s">
        <v>9</v>
      </c>
      <c r="B40" s="8"/>
      <c r="C40" s="8"/>
      <c r="D40" s="8"/>
      <c r="E40" s="8"/>
      <c r="F40" s="8"/>
      <c r="G40" s="8"/>
      <c r="H40" s="8"/>
      <c r="I40" s="8"/>
      <c r="J40" s="8"/>
      <c r="K40" s="195"/>
      <c r="L40" s="195"/>
    </row>
    <row r="41" spans="1:12" ht="20.25">
      <c r="A41" s="21" t="s">
        <v>457</v>
      </c>
      <c r="B41" s="8"/>
      <c r="C41" s="8"/>
      <c r="D41" s="8"/>
      <c r="E41" s="8"/>
      <c r="F41" s="8"/>
      <c r="G41" s="8"/>
      <c r="H41" s="8"/>
      <c r="I41" s="8"/>
      <c r="J41" s="8"/>
      <c r="K41" s="195"/>
      <c r="L41" s="195"/>
    </row>
    <row r="42" spans="1:12" ht="20.25">
      <c r="A42" s="21"/>
      <c r="B42" s="8"/>
      <c r="C42" s="8"/>
      <c r="D42" s="8"/>
      <c r="E42" s="8"/>
      <c r="F42" s="8"/>
      <c r="G42" s="8"/>
      <c r="H42" s="8"/>
      <c r="I42" s="8"/>
      <c r="J42" s="8"/>
      <c r="K42" s="195"/>
      <c r="L42" s="195"/>
    </row>
    <row r="43" spans="1:12" ht="20.25">
      <c r="A43" s="21"/>
      <c r="B43" s="8"/>
      <c r="C43" s="8"/>
      <c r="D43" s="8"/>
      <c r="E43" s="8"/>
      <c r="F43" s="8"/>
      <c r="G43" s="8"/>
      <c r="H43" s="8"/>
      <c r="I43" s="8"/>
      <c r="J43" s="8"/>
      <c r="K43" s="195"/>
      <c r="L43" s="195"/>
    </row>
    <row r="44" spans="1:12" ht="20.25">
      <c r="A44" s="21"/>
      <c r="B44" s="8"/>
      <c r="C44" s="8"/>
      <c r="D44" s="8"/>
      <c r="E44" s="8"/>
      <c r="F44" s="8"/>
      <c r="G44" s="8"/>
      <c r="H44" s="8"/>
      <c r="I44" s="8"/>
      <c r="J44" s="8"/>
      <c r="K44" s="195"/>
      <c r="L44" s="195"/>
    </row>
    <row r="45" spans="1:12" ht="21" thickBot="1">
      <c r="A45" s="8"/>
      <c r="B45" s="8"/>
      <c r="C45" s="8"/>
      <c r="D45" s="8"/>
      <c r="E45" s="8"/>
      <c r="F45" s="24"/>
      <c r="G45" s="24"/>
      <c r="H45" s="478" t="s">
        <v>0</v>
      </c>
      <c r="I45" s="8"/>
      <c r="J45" s="8"/>
      <c r="K45" s="195"/>
      <c r="L45" s="195"/>
    </row>
    <row r="46" spans="1:12" ht="27" thickBot="1">
      <c r="A46" s="23" t="s">
        <v>43</v>
      </c>
      <c r="B46" s="8"/>
      <c r="C46" s="8"/>
      <c r="D46" s="8"/>
      <c r="E46" s="8"/>
      <c r="F46" s="8"/>
      <c r="G46" s="26" t="s">
        <v>265</v>
      </c>
      <c r="H46" s="8"/>
      <c r="I46" s="8"/>
      <c r="J46" s="8"/>
      <c r="K46" s="195"/>
      <c r="L46" s="195"/>
    </row>
    <row r="47" spans="1:12" ht="21" thickBot="1">
      <c r="A47" s="35" t="s">
        <v>0</v>
      </c>
      <c r="B47" s="35" t="s">
        <v>0</v>
      </c>
      <c r="C47" s="35" t="s">
        <v>0</v>
      </c>
      <c r="D47" s="8"/>
      <c r="E47" s="8"/>
      <c r="F47" s="28" t="s">
        <v>0</v>
      </c>
      <c r="G47" s="31" t="s">
        <v>470</v>
      </c>
      <c r="H47" s="28" t="s">
        <v>0</v>
      </c>
      <c r="I47" s="35" t="s">
        <v>0</v>
      </c>
      <c r="J47" s="8"/>
      <c r="K47" s="195"/>
      <c r="L47" s="195"/>
    </row>
    <row r="48" spans="1:12" ht="20.25">
      <c r="A48" s="195"/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</row>
    <row r="49" spans="1:12" ht="20.25">
      <c r="A49" s="195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</row>
    <row r="50" spans="1:12" ht="20.25">
      <c r="A50" s="195"/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</row>
    <row r="51" spans="1:12" ht="16.5">
      <c r="A51" s="35"/>
      <c r="B51" s="35"/>
      <c r="C51" s="35"/>
      <c r="D51" s="8"/>
      <c r="E51" s="8"/>
      <c r="J51" s="8"/>
      <c r="K51" s="8"/>
      <c r="L51" s="8"/>
    </row>
    <row r="52" spans="1:12" ht="31.5">
      <c r="A52" s="189" t="s">
        <v>254</v>
      </c>
      <c r="B52" s="35"/>
      <c r="C52" s="191" t="s">
        <v>259</v>
      </c>
      <c r="D52" s="8"/>
      <c r="E52" s="8"/>
      <c r="J52" s="8"/>
      <c r="K52" s="8"/>
      <c r="L52" s="8"/>
    </row>
    <row r="53" spans="1:12" ht="31.5">
      <c r="A53" s="189" t="s">
        <v>258</v>
      </c>
      <c r="B53" s="35"/>
      <c r="C53" s="191" t="s">
        <v>264</v>
      </c>
      <c r="D53" s="8"/>
      <c r="E53" s="8"/>
      <c r="J53" s="8"/>
      <c r="K53" s="8"/>
      <c r="L53" s="8"/>
    </row>
    <row r="54" spans="1:12" ht="17.25">
      <c r="A54" s="190" t="s">
        <v>255</v>
      </c>
      <c r="B54" s="35"/>
      <c r="C54" s="35"/>
      <c r="D54" s="8"/>
      <c r="E54" s="8"/>
      <c r="J54" s="8"/>
      <c r="K54" s="8"/>
      <c r="L54" s="8"/>
    </row>
    <row r="55" spans="1:12" ht="17.25">
      <c r="A55" s="190" t="s">
        <v>256</v>
      </c>
      <c r="B55" s="35"/>
      <c r="C55" s="35"/>
      <c r="D55" s="8"/>
      <c r="E55" s="8"/>
      <c r="J55" s="8"/>
      <c r="K55" s="8"/>
      <c r="L55" s="8"/>
    </row>
    <row r="56" spans="1:12" ht="17.25">
      <c r="A56" s="190" t="s">
        <v>257</v>
      </c>
      <c r="B56" s="35"/>
      <c r="C56" s="35"/>
      <c r="D56" s="8"/>
      <c r="E56" s="8"/>
      <c r="J56" s="8"/>
      <c r="K56" s="8"/>
      <c r="L56" s="8"/>
    </row>
    <row r="62" spans="1:12" ht="31.5">
      <c r="A62" s="192" t="s">
        <v>263</v>
      </c>
      <c r="B62" s="98"/>
      <c r="C62" s="98"/>
      <c r="D62" s="98"/>
      <c r="E62" s="98"/>
      <c r="F62" s="98"/>
      <c r="G62" s="8"/>
      <c r="H62" s="8"/>
      <c r="I62" s="8"/>
    </row>
    <row r="63" spans="1:12" ht="17.25">
      <c r="A63" s="98"/>
      <c r="B63" s="98"/>
      <c r="C63" s="98"/>
      <c r="D63" s="98"/>
      <c r="E63" s="98"/>
      <c r="F63" s="98"/>
      <c r="G63" s="8"/>
      <c r="H63" s="8"/>
      <c r="I63" s="8"/>
    </row>
    <row r="64" spans="1:12" ht="18" thickBot="1">
      <c r="A64" s="193" t="s">
        <v>260</v>
      </c>
      <c r="B64" s="99"/>
      <c r="C64" s="99"/>
      <c r="D64" s="194" t="s">
        <v>262</v>
      </c>
      <c r="E64" s="99"/>
      <c r="F64" s="98"/>
      <c r="G64" s="8"/>
      <c r="H64" s="8"/>
      <c r="I64" s="8"/>
    </row>
    <row r="65" spans="1:9" ht="17.25">
      <c r="A65" s="98"/>
      <c r="B65" s="98"/>
      <c r="C65" s="98"/>
      <c r="D65" s="98" t="s">
        <v>261</v>
      </c>
      <c r="E65" s="98"/>
      <c r="F65" s="98"/>
      <c r="G65" s="8"/>
      <c r="H65" s="8"/>
      <c r="I65" s="8"/>
    </row>
    <row r="66" spans="1:9" ht="17.25">
      <c r="A66" s="98"/>
      <c r="B66" s="98"/>
      <c r="C66" s="98"/>
      <c r="D66" s="98"/>
      <c r="E66" s="98"/>
      <c r="F66" s="98"/>
      <c r="G66" s="8"/>
      <c r="H66" s="8"/>
      <c r="I66" s="8"/>
    </row>
    <row r="67" spans="1:9" ht="16.5">
      <c r="A67" s="8"/>
      <c r="B67" s="8"/>
      <c r="C67" s="8"/>
      <c r="D67" s="8"/>
      <c r="E67" s="8"/>
      <c r="F67" s="8"/>
      <c r="G67" s="8"/>
      <c r="H67" s="8"/>
      <c r="I67" s="8"/>
    </row>
    <row r="68" spans="1:9" ht="16.5">
      <c r="A68" s="8"/>
      <c r="B68" s="8"/>
      <c r="C68" s="8"/>
      <c r="D68" s="8"/>
      <c r="E68" s="8"/>
      <c r="F68" s="8"/>
      <c r="G68" s="8"/>
      <c r="H68" s="8"/>
      <c r="I68" s="8"/>
    </row>
    <row r="69" spans="1:9" ht="16.5">
      <c r="A69" s="8"/>
      <c r="B69" s="8"/>
      <c r="C69" s="8"/>
      <c r="D69" s="8"/>
      <c r="E69" s="8"/>
      <c r="F69" s="8"/>
      <c r="G69" s="8"/>
      <c r="H69" s="8"/>
      <c r="I69" s="8"/>
    </row>
    <row r="70" spans="1:9" ht="16.5">
      <c r="A70" s="8"/>
      <c r="B70" s="8"/>
      <c r="C70" s="8"/>
      <c r="D70" s="8"/>
      <c r="E70" s="8"/>
      <c r="F70" s="8"/>
      <c r="G70" s="8"/>
      <c r="H70" s="8"/>
      <c r="I70" s="8"/>
    </row>
    <row r="71" spans="1:9" ht="16.5">
      <c r="A71" s="8"/>
      <c r="B71" s="8"/>
      <c r="C71" s="8"/>
      <c r="D71" s="8"/>
      <c r="E71" s="8"/>
      <c r="F71" s="8"/>
      <c r="G71" s="8"/>
      <c r="H71" s="8"/>
      <c r="I71" s="8"/>
    </row>
    <row r="72" spans="1:9" ht="16.5">
      <c r="A72" s="8" t="s">
        <v>0</v>
      </c>
      <c r="B72" s="8"/>
      <c r="C72" s="8"/>
      <c r="D72" s="8"/>
      <c r="E72" s="8"/>
      <c r="F72" s="8"/>
      <c r="G72" s="8"/>
      <c r="H72" s="8"/>
      <c r="I72" s="8"/>
    </row>
    <row r="73" spans="1:9" ht="16.5">
      <c r="A73" s="8"/>
      <c r="B73" s="8"/>
      <c r="C73" s="8"/>
      <c r="D73" s="8"/>
      <c r="E73" s="8"/>
      <c r="F73" s="8"/>
      <c r="G73" s="8"/>
      <c r="H73" s="8"/>
      <c r="I73" s="8"/>
    </row>
  </sheetData>
  <pageMargins left="0.25" right="0.25" top="0.75" bottom="0.75" header="0.3" footer="0.3"/>
  <pageSetup scale="51" orientation="landscape" r:id="rId1"/>
  <rowBreaks count="1" manualBreakCount="1">
    <brk id="37" max="11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DCF-8362-451B-93E3-8D44BC877730}">
  <sheetPr>
    <tabColor rgb="FF92D050"/>
  </sheetPr>
  <dimension ref="A1:H33"/>
  <sheetViews>
    <sheetView view="pageBreakPreview" zoomScale="60" zoomScaleNormal="80" workbookViewId="0">
      <selection activeCell="G21" sqref="G21"/>
    </sheetView>
  </sheetViews>
  <sheetFormatPr defaultRowHeight="15"/>
  <cols>
    <col min="1" max="1" width="55" customWidth="1"/>
    <col min="2" max="2" width="17" customWidth="1"/>
    <col min="3" max="3" width="22.7109375" customWidth="1"/>
    <col min="4" max="4" width="20.140625" customWidth="1"/>
    <col min="5" max="5" width="27.85546875" customWidth="1"/>
    <col min="6" max="6" width="28.5703125" customWidth="1"/>
    <col min="7" max="7" width="23.42578125" customWidth="1"/>
    <col min="8" max="8" width="25.85546875" customWidth="1"/>
    <col min="9" max="9" width="14.140625" bestFit="1" customWidth="1"/>
    <col min="11" max="11" width="10.5703125" customWidth="1"/>
  </cols>
  <sheetData>
    <row r="1" spans="1:8" ht="26.25">
      <c r="A1" s="19" t="s">
        <v>1</v>
      </c>
      <c r="B1" s="8"/>
      <c r="C1" s="8"/>
      <c r="D1" s="8"/>
      <c r="E1" s="8"/>
      <c r="F1" s="8"/>
      <c r="G1" s="8"/>
      <c r="H1" s="8"/>
    </row>
    <row r="2" spans="1:8" ht="17.25">
      <c r="A2" s="20" t="s">
        <v>9</v>
      </c>
      <c r="B2" s="8"/>
      <c r="C2" s="8"/>
      <c r="D2" s="8"/>
      <c r="E2" s="8"/>
      <c r="F2" s="8"/>
      <c r="G2" s="8"/>
      <c r="H2" s="8"/>
    </row>
    <row r="3" spans="1:8" ht="16.5">
      <c r="A3" s="21" t="s">
        <v>457</v>
      </c>
      <c r="B3" s="8"/>
      <c r="C3" s="8"/>
      <c r="D3" s="8"/>
      <c r="E3" s="8"/>
      <c r="F3" s="8"/>
      <c r="G3" s="8"/>
      <c r="H3" s="8"/>
    </row>
    <row r="4" spans="1:8" ht="16.5">
      <c r="A4" s="21"/>
      <c r="B4" s="8"/>
      <c r="C4" s="8"/>
      <c r="D4" s="8"/>
      <c r="E4" s="8"/>
      <c r="F4" s="8"/>
      <c r="G4" s="8"/>
      <c r="H4" s="8"/>
    </row>
    <row r="5" spans="1:8" ht="16.5">
      <c r="A5" s="21"/>
      <c r="B5" s="8"/>
      <c r="C5" s="8"/>
      <c r="D5" s="8"/>
      <c r="E5" s="8"/>
      <c r="F5" s="8"/>
      <c r="G5" s="8"/>
      <c r="H5" s="8"/>
    </row>
    <row r="6" spans="1:8" ht="16.5">
      <c r="A6" s="21"/>
      <c r="B6" s="8"/>
      <c r="C6" s="8"/>
      <c r="D6" s="8"/>
      <c r="E6" s="8"/>
      <c r="F6" s="8"/>
      <c r="G6" s="8"/>
      <c r="H6" s="8"/>
    </row>
    <row r="7" spans="1:8" ht="17.25" thickBot="1">
      <c r="A7" s="8"/>
      <c r="B7" s="8"/>
      <c r="C7" s="8"/>
      <c r="H7" s="8"/>
    </row>
    <row r="8" spans="1:8" ht="21" thickBot="1">
      <c r="A8" s="223" t="str">
        <f>+'S&amp;D'!A12</f>
        <v>Railroad Carriers</v>
      </c>
      <c r="B8" s="160"/>
      <c r="C8" s="8"/>
      <c r="D8" s="24"/>
      <c r="E8" s="24"/>
      <c r="F8" s="24"/>
      <c r="H8" s="8"/>
    </row>
    <row r="9" spans="1:8" ht="26.25">
      <c r="A9" s="25"/>
      <c r="B9" s="8"/>
      <c r="C9" s="8"/>
      <c r="D9" s="8"/>
      <c r="E9" s="26" t="s">
        <v>118</v>
      </c>
      <c r="F9" s="26"/>
      <c r="H9" s="8"/>
    </row>
    <row r="10" spans="1:8" ht="21" thickBot="1">
      <c r="A10" s="25"/>
      <c r="B10" s="8"/>
      <c r="C10" s="8"/>
      <c r="D10" s="24"/>
      <c r="E10" s="31" t="s">
        <v>470</v>
      </c>
      <c r="F10" s="31"/>
      <c r="H10" s="8"/>
    </row>
    <row r="11" spans="1:8" ht="20.25">
      <c r="A11" s="25"/>
      <c r="B11" s="8"/>
      <c r="H11" s="8"/>
    </row>
    <row r="12" spans="1:8" ht="17.25" thickBot="1">
      <c r="A12" s="28" t="s">
        <v>0</v>
      </c>
      <c r="B12" s="28" t="s">
        <v>0</v>
      </c>
      <c r="C12" s="28" t="s">
        <v>0</v>
      </c>
      <c r="D12" s="28" t="s">
        <v>0</v>
      </c>
      <c r="E12" s="28" t="s">
        <v>0</v>
      </c>
      <c r="F12" s="28"/>
      <c r="G12" s="28"/>
      <c r="H12" s="24"/>
    </row>
    <row r="13" spans="1:8" ht="17.25">
      <c r="A13" s="83" t="s">
        <v>0</v>
      </c>
      <c r="B13" s="83" t="s">
        <v>3</v>
      </c>
      <c r="C13" s="83" t="s">
        <v>5</v>
      </c>
      <c r="D13" s="83" t="s">
        <v>21</v>
      </c>
      <c r="E13" s="149" t="s">
        <v>219</v>
      </c>
      <c r="F13" s="149" t="s">
        <v>307</v>
      </c>
      <c r="G13" s="83" t="s">
        <v>20</v>
      </c>
      <c r="H13" s="83" t="s">
        <v>139</v>
      </c>
    </row>
    <row r="14" spans="1:8" ht="18" thickBot="1">
      <c r="A14" s="89" t="s">
        <v>2</v>
      </c>
      <c r="B14" s="89" t="s">
        <v>4</v>
      </c>
      <c r="C14" s="89" t="s">
        <v>6</v>
      </c>
      <c r="D14" s="89" t="s">
        <v>23</v>
      </c>
      <c r="E14" s="89" t="s">
        <v>308</v>
      </c>
      <c r="F14" s="89" t="s">
        <v>182</v>
      </c>
      <c r="G14" s="89" t="s">
        <v>22</v>
      </c>
      <c r="H14" s="89" t="s">
        <v>116</v>
      </c>
    </row>
    <row r="15" spans="1:8">
      <c r="A15" s="33" t="s">
        <v>7</v>
      </c>
      <c r="B15" s="33" t="s">
        <v>7</v>
      </c>
      <c r="C15" s="33" t="s">
        <v>7</v>
      </c>
      <c r="D15" s="33" t="s">
        <v>7</v>
      </c>
      <c r="E15" s="186" t="s">
        <v>458</v>
      </c>
      <c r="F15" s="186" t="s">
        <v>458</v>
      </c>
      <c r="G15" s="33" t="s">
        <v>7</v>
      </c>
      <c r="H15" s="186" t="s">
        <v>458</v>
      </c>
    </row>
    <row r="16" spans="1:8" ht="17.25" thickBot="1">
      <c r="A16" s="29"/>
      <c r="B16" s="29"/>
      <c r="C16" s="29"/>
      <c r="D16" s="29"/>
      <c r="G16" s="29"/>
      <c r="H16" s="29"/>
    </row>
    <row r="17" spans="1:8" ht="16.5">
      <c r="A17" s="131"/>
      <c r="B17" s="100"/>
      <c r="C17" s="100"/>
      <c r="D17" s="100"/>
      <c r="E17" s="265"/>
      <c r="F17" s="265"/>
      <c r="G17" s="100"/>
      <c r="H17" s="132"/>
    </row>
    <row r="18" spans="1:8" ht="20.25" customHeight="1">
      <c r="A18" s="95" t="str">
        <f>+'S&amp;D'!A22</f>
        <v>Canadian National</v>
      </c>
      <c r="B18" s="83" t="str">
        <f>+'S&amp;D'!B22</f>
        <v>CNI</v>
      </c>
      <c r="C18" s="83" t="str">
        <f>+'S&amp;D'!C22</f>
        <v>Railroad</v>
      </c>
      <c r="D18" s="266">
        <v>0.25</v>
      </c>
      <c r="E18" s="220">
        <v>0.22500000000000001</v>
      </c>
      <c r="F18" s="220">
        <v>0.12</v>
      </c>
      <c r="G18" s="83" t="s">
        <v>44</v>
      </c>
      <c r="H18" s="336">
        <v>0.9</v>
      </c>
    </row>
    <row r="19" spans="1:8" ht="20.25" customHeight="1">
      <c r="A19" s="95" t="str">
        <f>+'S&amp;D'!A23</f>
        <v>Canadian Pacific Kansas City Limited  CPKC</v>
      </c>
      <c r="B19" s="83" t="str">
        <f>+'S&amp;D'!B23</f>
        <v>CP</v>
      </c>
      <c r="C19" s="83" t="str">
        <f>+'S&amp;D'!C23</f>
        <v>Railroad</v>
      </c>
      <c r="D19" s="266">
        <v>0.25</v>
      </c>
      <c r="E19" s="220">
        <v>0.1</v>
      </c>
      <c r="F19" s="220">
        <v>7.4999999999999997E-2</v>
      </c>
      <c r="G19" s="83" t="s">
        <v>24</v>
      </c>
      <c r="H19" s="336">
        <v>0.95</v>
      </c>
    </row>
    <row r="20" spans="1:8" ht="20.25" customHeight="1">
      <c r="A20" s="95" t="str">
        <f>+'S&amp;D'!A24</f>
        <v>CSX Corp</v>
      </c>
      <c r="B20" s="83" t="str">
        <f>+'S&amp;D'!B24</f>
        <v>CSX</v>
      </c>
      <c r="C20" s="83" t="str">
        <f>+'S&amp;D'!C24</f>
        <v>Railroad</v>
      </c>
      <c r="D20" s="266">
        <v>0.23</v>
      </c>
      <c r="E20" s="220">
        <v>0.26500000000000001</v>
      </c>
      <c r="F20" s="220">
        <v>0.17499999999999999</v>
      </c>
      <c r="G20" s="83" t="s">
        <v>24</v>
      </c>
      <c r="H20" s="336">
        <v>0.95</v>
      </c>
    </row>
    <row r="21" spans="1:8" ht="20.25" customHeight="1">
      <c r="A21" s="95" t="str">
        <f>+'S&amp;D'!A25</f>
        <v>Norfolk Southern</v>
      </c>
      <c r="B21" s="83" t="str">
        <f>+'S&amp;D'!B25</f>
        <v>NSC</v>
      </c>
      <c r="C21" s="83" t="str">
        <f>+'S&amp;D'!C25</f>
        <v>Railroad</v>
      </c>
      <c r="D21" s="266">
        <v>0.22</v>
      </c>
      <c r="E21" s="220">
        <v>0.16</v>
      </c>
      <c r="F21" s="220">
        <v>0.09</v>
      </c>
      <c r="G21" s="83" t="s">
        <v>24</v>
      </c>
      <c r="H21" s="336">
        <v>1</v>
      </c>
    </row>
    <row r="22" spans="1:8" ht="20.25" customHeight="1" thickBot="1">
      <c r="A22" s="95" t="str">
        <f>+'S&amp;D'!A26</f>
        <v>Union Pacific Railroad</v>
      </c>
      <c r="B22" s="83" t="str">
        <f>+'S&amp;D'!B26</f>
        <v>UNP</v>
      </c>
      <c r="C22" s="83" t="str">
        <f>+'S&amp;D'!C26</f>
        <v>Railroad</v>
      </c>
      <c r="D22" s="266">
        <v>0.24</v>
      </c>
      <c r="E22" s="220">
        <v>0.32500000000000001</v>
      </c>
      <c r="F22" s="220">
        <v>0.18</v>
      </c>
      <c r="G22" s="83" t="s">
        <v>44</v>
      </c>
      <c r="H22" s="337">
        <v>0.95</v>
      </c>
    </row>
    <row r="23" spans="1:8" ht="20.25" customHeight="1" thickTop="1">
      <c r="A23" s="98"/>
      <c r="B23" s="98"/>
      <c r="C23" s="3"/>
      <c r="D23" s="144" t="s">
        <v>0</v>
      </c>
      <c r="E23" s="3"/>
      <c r="F23" s="3"/>
      <c r="G23" s="106" t="s">
        <v>46</v>
      </c>
      <c r="H23" s="145">
        <f>+MAX(H18:H22)</f>
        <v>1</v>
      </c>
    </row>
    <row r="24" spans="1:8" ht="20.25" customHeight="1">
      <c r="A24" s="98"/>
      <c r="B24" s="98"/>
      <c r="C24" s="3"/>
      <c r="D24" s="144" t="s">
        <v>0</v>
      </c>
      <c r="E24" s="3"/>
      <c r="F24" s="3"/>
      <c r="G24" s="106" t="s">
        <v>47</v>
      </c>
      <c r="H24" s="283">
        <f>MIN(H18:H22)</f>
        <v>0.9</v>
      </c>
    </row>
    <row r="25" spans="1:8" ht="20.25" customHeight="1">
      <c r="A25" s="98"/>
      <c r="B25" s="98"/>
      <c r="C25" s="3"/>
      <c r="D25" s="146" t="s">
        <v>0</v>
      </c>
      <c r="E25" s="3"/>
      <c r="F25" s="3"/>
      <c r="G25" s="106" t="s">
        <v>18</v>
      </c>
      <c r="H25" s="147">
        <f>MEDIAN(H18:H22)</f>
        <v>0.95</v>
      </c>
    </row>
    <row r="26" spans="1:8" ht="20.25" customHeight="1">
      <c r="A26" s="98"/>
      <c r="B26" s="98"/>
      <c r="C26" s="3"/>
      <c r="D26" s="108" t="s">
        <v>0</v>
      </c>
      <c r="E26" s="3"/>
      <c r="F26" s="3"/>
      <c r="G26" s="106" t="s">
        <v>375</v>
      </c>
      <c r="H26" s="148">
        <f>AVERAGE(H18:H22)</f>
        <v>0.95</v>
      </c>
    </row>
    <row r="27" spans="1:8" ht="20.25" customHeight="1">
      <c r="A27" s="98"/>
      <c r="B27" s="98"/>
      <c r="C27" s="3"/>
      <c r="D27" s="108"/>
      <c r="E27" s="3"/>
      <c r="F27" s="3"/>
      <c r="G27" s="106"/>
      <c r="H27" s="148"/>
    </row>
    <row r="28" spans="1:8" ht="20.25" customHeight="1" thickBot="1">
      <c r="A28" s="8"/>
      <c r="B28" s="8"/>
      <c r="C28" s="8"/>
      <c r="D28" s="8" t="s">
        <v>0</v>
      </c>
      <c r="G28" s="8"/>
      <c r="H28" s="8"/>
    </row>
    <row r="29" spans="1:8" ht="20.25" customHeight="1" thickBot="1">
      <c r="A29" s="8"/>
      <c r="B29" s="8"/>
      <c r="C29" s="8"/>
      <c r="D29" s="8"/>
      <c r="G29" s="166" t="s">
        <v>74</v>
      </c>
      <c r="H29" s="264">
        <v>0.95</v>
      </c>
    </row>
    <row r="30" spans="1:8" ht="20.25" customHeight="1">
      <c r="A30" s="8"/>
      <c r="B30" s="8"/>
      <c r="C30" s="8"/>
      <c r="D30" s="8"/>
      <c r="G30" s="8"/>
      <c r="H30" s="242"/>
    </row>
    <row r="31" spans="1:8" ht="20.25" customHeight="1">
      <c r="A31" s="8"/>
      <c r="B31" s="8"/>
      <c r="C31" s="8"/>
      <c r="D31" s="8"/>
      <c r="G31" s="8"/>
      <c r="H31" s="242"/>
    </row>
    <row r="32" spans="1:8" ht="17.25">
      <c r="A32" s="98" t="s">
        <v>310</v>
      </c>
    </row>
    <row r="33" spans="1:1" ht="17.25">
      <c r="A33" s="98" t="s">
        <v>309</v>
      </c>
    </row>
  </sheetData>
  <pageMargins left="0.25" right="0.25" top="0.75" bottom="0.75" header="0.3" footer="0.3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0854-9225-4685-BC0B-402957CF1047}">
  <sheetPr>
    <tabColor rgb="FF92D050"/>
  </sheetPr>
  <dimension ref="A1:K28"/>
  <sheetViews>
    <sheetView view="pageBreakPreview" zoomScale="60" zoomScaleNormal="80" workbookViewId="0">
      <selection activeCell="F6" sqref="F6"/>
    </sheetView>
  </sheetViews>
  <sheetFormatPr defaultRowHeight="15"/>
  <cols>
    <col min="1" max="1" width="50.42578125" customWidth="1"/>
    <col min="2" max="2" width="10.85546875" bestFit="1" customWidth="1"/>
    <col min="3" max="3" width="19.140625" bestFit="1" customWidth="1"/>
    <col min="4" max="4" width="15.285156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7109375" customWidth="1"/>
    <col min="12" max="12" width="23.7109375" customWidth="1"/>
  </cols>
  <sheetData>
    <row r="1" spans="1:11" ht="26.25">
      <c r="A1" s="19" t="s">
        <v>1</v>
      </c>
      <c r="B1" s="8"/>
      <c r="C1" s="8"/>
      <c r="D1" s="8"/>
      <c r="E1" s="8"/>
      <c r="F1" s="8"/>
      <c r="G1" s="8"/>
      <c r="H1" s="8"/>
      <c r="I1" s="8"/>
      <c r="J1" s="8"/>
    </row>
    <row r="2" spans="1:11" ht="17.25">
      <c r="A2" s="20" t="s">
        <v>9</v>
      </c>
      <c r="B2" s="8"/>
      <c r="C2" s="8"/>
      <c r="D2" s="8"/>
      <c r="E2" s="8"/>
      <c r="F2" s="8"/>
      <c r="G2" s="8"/>
      <c r="H2" s="8"/>
      <c r="I2" s="8"/>
      <c r="J2" s="8"/>
    </row>
    <row r="3" spans="1:11" ht="16.5">
      <c r="A3" s="21" t="s">
        <v>457</v>
      </c>
      <c r="B3" s="8"/>
      <c r="C3" s="8"/>
      <c r="D3" s="8"/>
      <c r="E3" s="8"/>
      <c r="F3" s="8"/>
      <c r="G3" s="8"/>
      <c r="H3" s="8"/>
      <c r="I3" s="8"/>
      <c r="J3" s="8"/>
    </row>
    <row r="4" spans="1:11" ht="16.5">
      <c r="A4" s="21"/>
      <c r="B4" s="8"/>
      <c r="C4" s="8"/>
      <c r="D4" s="8"/>
      <c r="E4" s="8"/>
      <c r="F4" s="8"/>
      <c r="G4" s="8"/>
      <c r="H4" s="8"/>
      <c r="I4" s="8"/>
      <c r="J4" s="8"/>
    </row>
    <row r="5" spans="1:11" ht="17.25" thickBot="1">
      <c r="A5" s="8"/>
      <c r="B5" s="8"/>
      <c r="C5" s="8"/>
      <c r="D5" s="8"/>
      <c r="E5" s="8"/>
      <c r="F5" s="8"/>
      <c r="G5" s="22"/>
      <c r="H5" s="8"/>
      <c r="I5" s="8"/>
      <c r="J5" s="8"/>
    </row>
    <row r="6" spans="1:11" ht="21" thickBot="1">
      <c r="A6" s="223" t="str">
        <f>'S&amp;D'!A12</f>
        <v>Railroad Carriers</v>
      </c>
      <c r="B6" s="160"/>
      <c r="C6" s="8"/>
      <c r="D6" s="24"/>
      <c r="E6" s="24"/>
      <c r="F6" s="478" t="s">
        <v>0</v>
      </c>
      <c r="G6" s="8"/>
      <c r="H6" s="8"/>
      <c r="I6" s="8"/>
      <c r="J6" s="8"/>
    </row>
    <row r="7" spans="1:11" ht="26.25">
      <c r="A7" s="25"/>
      <c r="B7" s="8"/>
      <c r="C7" s="8"/>
      <c r="D7" s="8"/>
      <c r="E7" s="26" t="s">
        <v>161</v>
      </c>
      <c r="F7" s="8"/>
      <c r="G7" s="8"/>
      <c r="H7" s="8"/>
      <c r="I7" s="8"/>
      <c r="J7" s="8"/>
    </row>
    <row r="8" spans="1:11" ht="21" thickBot="1">
      <c r="A8" s="25"/>
      <c r="B8" s="8"/>
      <c r="C8" s="8"/>
      <c r="D8" s="24"/>
      <c r="E8" s="27" t="s">
        <v>470</v>
      </c>
      <c r="F8" s="24"/>
      <c r="G8" s="8"/>
      <c r="H8" s="8"/>
      <c r="I8" s="8"/>
      <c r="J8" s="8"/>
    </row>
    <row r="9" spans="1:11" ht="17.25" thickBot="1">
      <c r="A9" s="28" t="s">
        <v>0</v>
      </c>
      <c r="B9" s="28" t="s">
        <v>0</v>
      </c>
      <c r="C9" s="28" t="s">
        <v>0</v>
      </c>
      <c r="D9" s="28" t="s">
        <v>0</v>
      </c>
      <c r="E9" s="28" t="s">
        <v>0</v>
      </c>
      <c r="F9" s="28"/>
      <c r="G9" s="24"/>
      <c r="H9" s="24"/>
      <c r="I9" s="24"/>
      <c r="J9" s="24"/>
      <c r="K9" s="129"/>
    </row>
    <row r="10" spans="1:11" ht="16.5">
      <c r="A10" s="29" t="s">
        <v>0</v>
      </c>
      <c r="B10" s="29" t="s">
        <v>3</v>
      </c>
      <c r="C10" s="29" t="s">
        <v>5</v>
      </c>
      <c r="D10" s="29" t="s">
        <v>156</v>
      </c>
      <c r="E10" s="29" t="s">
        <v>157</v>
      </c>
      <c r="F10" s="29" t="s">
        <v>159</v>
      </c>
      <c r="G10" s="29" t="s">
        <v>157</v>
      </c>
      <c r="H10" s="29" t="s">
        <v>159</v>
      </c>
      <c r="I10" s="29" t="s">
        <v>157</v>
      </c>
      <c r="J10" s="29" t="s">
        <v>159</v>
      </c>
      <c r="K10" s="29" t="s">
        <v>247</v>
      </c>
    </row>
    <row r="11" spans="1:11" ht="16.5">
      <c r="A11" s="29"/>
      <c r="B11" s="29" t="s">
        <v>4</v>
      </c>
      <c r="C11" s="29" t="s">
        <v>6</v>
      </c>
      <c r="D11" s="29" t="s">
        <v>27</v>
      </c>
      <c r="E11" s="29" t="s">
        <v>158</v>
      </c>
      <c r="F11" s="29" t="s">
        <v>117</v>
      </c>
      <c r="G11" s="29" t="s">
        <v>158</v>
      </c>
      <c r="H11" s="29" t="s">
        <v>117</v>
      </c>
      <c r="I11" s="29" t="s">
        <v>158</v>
      </c>
      <c r="J11" s="29" t="s">
        <v>117</v>
      </c>
      <c r="K11" s="29" t="s">
        <v>173</v>
      </c>
    </row>
    <row r="12" spans="1:11" ht="17.25" thickBot="1">
      <c r="A12" s="31" t="s">
        <v>2</v>
      </c>
      <c r="B12" s="31" t="s">
        <v>0</v>
      </c>
      <c r="C12" s="31" t="s">
        <v>0</v>
      </c>
      <c r="D12" s="31" t="s">
        <v>0</v>
      </c>
      <c r="E12" s="31" t="s">
        <v>160</v>
      </c>
      <c r="F12" s="31" t="s">
        <v>160</v>
      </c>
      <c r="G12" s="31" t="s">
        <v>245</v>
      </c>
      <c r="H12" s="31" t="s">
        <v>245</v>
      </c>
      <c r="I12" s="31" t="s">
        <v>246</v>
      </c>
      <c r="J12" s="31" t="s">
        <v>246</v>
      </c>
      <c r="K12" s="187" t="s">
        <v>248</v>
      </c>
    </row>
    <row r="13" spans="1:11">
      <c r="A13" s="33" t="s">
        <v>7</v>
      </c>
      <c r="B13" s="33" t="s">
        <v>7</v>
      </c>
      <c r="C13" s="33" t="s">
        <v>7</v>
      </c>
      <c r="D13" s="34" t="s">
        <v>113</v>
      </c>
      <c r="E13" s="33" t="s">
        <v>7</v>
      </c>
      <c r="F13" s="33" t="s">
        <v>15</v>
      </c>
      <c r="G13" s="33" t="s">
        <v>7</v>
      </c>
      <c r="H13" s="33" t="s">
        <v>15</v>
      </c>
      <c r="I13" s="33" t="s">
        <v>7</v>
      </c>
      <c r="J13" s="33" t="s">
        <v>15</v>
      </c>
      <c r="K13" s="33" t="s">
        <v>15</v>
      </c>
    </row>
    <row r="14" spans="1:11" ht="16.5">
      <c r="A14" s="29"/>
      <c r="B14" s="29"/>
      <c r="C14" s="29"/>
      <c r="D14" s="29"/>
      <c r="E14" s="29"/>
      <c r="F14" s="29"/>
      <c r="G14" s="8"/>
      <c r="H14" s="8"/>
      <c r="I14" s="8"/>
      <c r="J14" s="8"/>
      <c r="K14" s="8"/>
    </row>
    <row r="15" spans="1:11" ht="16.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17.25">
      <c r="A16" s="56" t="str">
        <f>+'S&amp;D'!A22</f>
        <v>Canadian National</v>
      </c>
      <c r="B16" s="83" t="str">
        <f>+'S&amp;D'!B22</f>
        <v>CNI</v>
      </c>
      <c r="C16" s="83" t="str">
        <f>+'S&amp;D'!C22</f>
        <v>Railroad</v>
      </c>
      <c r="D16" s="53">
        <f>+'S&amp;D'!G22</f>
        <v>98.85</v>
      </c>
      <c r="E16" s="329">
        <v>2.76</v>
      </c>
      <c r="F16" s="47">
        <f>+E16/D16</f>
        <v>2.7921092564491653E-2</v>
      </c>
      <c r="G16" s="329">
        <v>2.84</v>
      </c>
      <c r="H16" s="47">
        <f>+G16/D16</f>
        <v>2.8730399595346484E-2</v>
      </c>
      <c r="I16" s="329">
        <v>3.4</v>
      </c>
      <c r="J16" s="47">
        <f>+I16/D16</f>
        <v>3.43955488113303E-2</v>
      </c>
      <c r="K16" s="338">
        <f>RATE(3,,-G16,I16)</f>
        <v>6.1826416480780452E-2</v>
      </c>
    </row>
    <row r="17" spans="1:11" ht="17.25">
      <c r="A17" s="56" t="str">
        <f>+'S&amp;D'!A23</f>
        <v>Canadian Pacific Kansas City Limited  CPKC</v>
      </c>
      <c r="B17" s="83" t="str">
        <f>+'S&amp;D'!B23</f>
        <v>CP</v>
      </c>
      <c r="C17" s="83" t="str">
        <f>+'S&amp;D'!C23</f>
        <v>Railroad</v>
      </c>
      <c r="D17" s="53">
        <f>+'S&amp;D'!G23</f>
        <v>73.63</v>
      </c>
      <c r="E17" s="329">
        <v>0.7</v>
      </c>
      <c r="F17" s="47">
        <f t="shared" ref="F17:F20" si="0">+E17/D17</f>
        <v>9.5069944316175468E-3</v>
      </c>
      <c r="G17" s="329">
        <v>0.75</v>
      </c>
      <c r="H17" s="47">
        <f t="shared" ref="H17:H20" si="1">+G17/D17</f>
        <v>1.0186065462447373E-2</v>
      </c>
      <c r="I17" s="329">
        <v>1</v>
      </c>
      <c r="J17" s="47">
        <f t="shared" ref="J17:J20" si="2">+I17/D17</f>
        <v>1.3581420616596496E-2</v>
      </c>
      <c r="K17" s="338">
        <f t="shared" ref="K17:K20" si="3">RATE(3,,-G17,I17)</f>
        <v>0.10064241629820768</v>
      </c>
    </row>
    <row r="18" spans="1:11" ht="17.25">
      <c r="A18" s="56" t="str">
        <f>+'S&amp;D'!A24</f>
        <v>CSX Corp</v>
      </c>
      <c r="B18" s="83" t="str">
        <f>+'S&amp;D'!B24</f>
        <v>CSX</v>
      </c>
      <c r="C18" s="83" t="str">
        <f>+'S&amp;D'!C24</f>
        <v>Railroad</v>
      </c>
      <c r="D18" s="53">
        <f>+'S&amp;D'!G24</f>
        <v>36.25</v>
      </c>
      <c r="E18" s="329">
        <v>0.6</v>
      </c>
      <c r="F18" s="47">
        <f t="shared" si="0"/>
        <v>1.6551724137931035E-2</v>
      </c>
      <c r="G18" s="329">
        <v>0.64</v>
      </c>
      <c r="H18" s="47">
        <f t="shared" si="1"/>
        <v>1.7655172413793104E-2</v>
      </c>
      <c r="I18" s="329">
        <v>0.88</v>
      </c>
      <c r="J18" s="47">
        <f t="shared" si="2"/>
        <v>2.4275862068965516E-2</v>
      </c>
      <c r="K18" s="338">
        <f t="shared" si="3"/>
        <v>0.11199004528465803</v>
      </c>
    </row>
    <row r="19" spans="1:11" ht="17.25">
      <c r="A19" s="56" t="str">
        <f>+'S&amp;D'!A25</f>
        <v>Norfolk Southern</v>
      </c>
      <c r="B19" s="83" t="str">
        <f>+'S&amp;D'!B25</f>
        <v>NSC</v>
      </c>
      <c r="C19" s="83" t="str">
        <f>+'S&amp;D'!C25</f>
        <v>Railroad</v>
      </c>
      <c r="D19" s="53">
        <f>+'S&amp;D'!G25</f>
        <v>288.72000000000003</v>
      </c>
      <c r="E19" s="329">
        <v>5.4</v>
      </c>
      <c r="F19" s="47">
        <f t="shared" si="0"/>
        <v>1.8703241895261846E-2</v>
      </c>
      <c r="G19" s="329">
        <v>5.4</v>
      </c>
      <c r="H19" s="47">
        <f t="shared" si="1"/>
        <v>1.8703241895261846E-2</v>
      </c>
      <c r="I19" s="329">
        <v>6</v>
      </c>
      <c r="J19" s="47">
        <f>+I19/D19</f>
        <v>2.078137988362427E-2</v>
      </c>
      <c r="K19" s="338">
        <f t="shared" si="3"/>
        <v>3.5744168651286448E-2</v>
      </c>
    </row>
    <row r="20" spans="1:11" ht="17.25">
      <c r="A20" s="56" t="str">
        <f>+'S&amp;D'!A26</f>
        <v>Union Pacific Railroad</v>
      </c>
      <c r="B20" s="83" t="str">
        <f>+'S&amp;D'!B26</f>
        <v>UNP</v>
      </c>
      <c r="C20" s="83" t="str">
        <f>+'S&amp;D'!C26</f>
        <v>Railroad</v>
      </c>
      <c r="D20" s="53">
        <f>+'S&amp;D'!G26</f>
        <v>231.32</v>
      </c>
      <c r="E20" s="329">
        <v>5.6</v>
      </c>
      <c r="F20" s="47">
        <f t="shared" si="0"/>
        <v>2.4208888120352757E-2</v>
      </c>
      <c r="G20" s="329">
        <v>6</v>
      </c>
      <c r="H20" s="47">
        <f t="shared" si="1"/>
        <v>2.593809441466367E-2</v>
      </c>
      <c r="I20" s="329">
        <v>7.5</v>
      </c>
      <c r="J20" s="47">
        <f t="shared" si="2"/>
        <v>3.2422618018329588E-2</v>
      </c>
      <c r="K20" s="338">
        <f t="shared" si="3"/>
        <v>7.7217345015989494E-2</v>
      </c>
    </row>
    <row r="21" spans="1:11" ht="17.25" thickBot="1">
      <c r="A21" s="8"/>
      <c r="B21" s="8"/>
      <c r="C21" s="38"/>
      <c r="D21" s="41"/>
      <c r="E21" s="41"/>
      <c r="F21" s="41"/>
      <c r="G21" s="41"/>
      <c r="H21" s="41"/>
      <c r="I21" s="41"/>
      <c r="J21" s="41"/>
      <c r="K21" s="41"/>
    </row>
    <row r="22" spans="1:11" ht="17.25" thickTop="1">
      <c r="A22" s="8"/>
      <c r="B22" s="8"/>
      <c r="D22" s="10" t="s">
        <v>46</v>
      </c>
      <c r="E22" s="12">
        <f>MAX(E16:E20)</f>
        <v>5.6</v>
      </c>
      <c r="F22" s="269">
        <f t="shared" ref="F22:K22" si="4">MAX(F16:F20)</f>
        <v>2.7921092564491653E-2</v>
      </c>
      <c r="G22" s="12">
        <f t="shared" si="4"/>
        <v>6</v>
      </c>
      <c r="H22" s="269">
        <f t="shared" si="4"/>
        <v>2.8730399595346484E-2</v>
      </c>
      <c r="I22" s="12">
        <f t="shared" si="4"/>
        <v>7.5</v>
      </c>
      <c r="J22" s="269">
        <f t="shared" si="4"/>
        <v>3.43955488113303E-2</v>
      </c>
      <c r="K22" s="269">
        <f t="shared" si="4"/>
        <v>0.11199004528465803</v>
      </c>
    </row>
    <row r="23" spans="1:11" ht="16.5">
      <c r="A23" s="8"/>
      <c r="B23" s="8"/>
      <c r="D23" s="10" t="s">
        <v>47</v>
      </c>
      <c r="E23" s="281">
        <f>MIN(E16:E20)</f>
        <v>0.6</v>
      </c>
      <c r="F23" s="282">
        <f t="shared" ref="F23:K23" si="5">MIN(F16:F20)</f>
        <v>9.5069944316175468E-3</v>
      </c>
      <c r="G23" s="281">
        <f t="shared" si="5"/>
        <v>0.64</v>
      </c>
      <c r="H23" s="282">
        <f t="shared" si="5"/>
        <v>1.0186065462447373E-2</v>
      </c>
      <c r="I23" s="281">
        <f t="shared" si="5"/>
        <v>0.88</v>
      </c>
      <c r="J23" s="282">
        <f t="shared" si="5"/>
        <v>1.3581420616596496E-2</v>
      </c>
      <c r="K23" s="282">
        <f t="shared" si="5"/>
        <v>3.5744168651286448E-2</v>
      </c>
    </row>
    <row r="24" spans="1:11" ht="16.5">
      <c r="A24" s="8"/>
      <c r="B24" s="8"/>
      <c r="D24" s="10" t="s">
        <v>18</v>
      </c>
      <c r="E24" s="13">
        <f t="shared" ref="E24:K24" si="6">MEDIAN(E16:E20)</f>
        <v>2.76</v>
      </c>
      <c r="F24" s="48">
        <f t="shared" si="6"/>
        <v>1.8703241895261846E-2</v>
      </c>
      <c r="G24" s="13">
        <f t="shared" si="6"/>
        <v>2.84</v>
      </c>
      <c r="H24" s="48">
        <f t="shared" si="6"/>
        <v>1.8703241895261846E-2</v>
      </c>
      <c r="I24" s="13">
        <f t="shared" si="6"/>
        <v>3.4</v>
      </c>
      <c r="J24" s="48">
        <f t="shared" si="6"/>
        <v>2.4275862068965516E-2</v>
      </c>
      <c r="K24" s="48">
        <f t="shared" si="6"/>
        <v>7.7217345015989494E-2</v>
      </c>
    </row>
    <row r="25" spans="1:11" ht="16.5">
      <c r="A25" s="8"/>
      <c r="B25" s="8"/>
      <c r="D25" s="10" t="s">
        <v>375</v>
      </c>
      <c r="E25" s="17">
        <f t="shared" ref="E25:K25" si="7">AVERAGE(E16:E20)</f>
        <v>3.012</v>
      </c>
      <c r="F25" s="50">
        <f t="shared" si="7"/>
        <v>1.9378388229930966E-2</v>
      </c>
      <c r="G25" s="17">
        <f t="shared" si="7"/>
        <v>3.1259999999999999</v>
      </c>
      <c r="H25" s="50">
        <f t="shared" si="7"/>
        <v>2.0242594756302495E-2</v>
      </c>
      <c r="I25" s="17">
        <f t="shared" si="7"/>
        <v>3.7560000000000002</v>
      </c>
      <c r="J25" s="50">
        <f t="shared" si="7"/>
        <v>2.5091365879769234E-2</v>
      </c>
      <c r="K25" s="50">
        <f t="shared" si="7"/>
        <v>7.7484078346184412E-2</v>
      </c>
    </row>
    <row r="26" spans="1:11" ht="16.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26.25">
      <c r="A27" s="8"/>
      <c r="B27" s="8"/>
      <c r="C27" s="8"/>
      <c r="D27" s="8"/>
      <c r="E27" s="8"/>
      <c r="F27" s="43" t="s">
        <v>0</v>
      </c>
      <c r="G27" s="57" t="s">
        <v>0</v>
      </c>
      <c r="H27" s="8"/>
      <c r="I27" s="8"/>
      <c r="J27" s="8"/>
      <c r="K27" s="8"/>
    </row>
    <row r="28" spans="1:11" ht="18.75">
      <c r="A28" s="188" t="s">
        <v>249</v>
      </c>
    </row>
  </sheetData>
  <pageMargins left="0.25" right="0.25" top="0.75" bottom="0.75" header="0.3" footer="0.3"/>
  <pageSetup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596C7-3CA4-4A86-9548-2C135C060B79}">
  <sheetPr>
    <tabColor rgb="FF92D050"/>
  </sheetPr>
  <dimension ref="A1:K28"/>
  <sheetViews>
    <sheetView view="pageBreakPreview" topLeftCell="A4" zoomScale="60" zoomScaleNormal="80" workbookViewId="0">
      <selection activeCell="F6" sqref="F6"/>
    </sheetView>
  </sheetViews>
  <sheetFormatPr defaultRowHeight="15"/>
  <cols>
    <col min="1" max="1" width="51.5703125" customWidth="1"/>
    <col min="2" max="2" width="10.85546875" bestFit="1" customWidth="1"/>
    <col min="3" max="3" width="19.140625" bestFit="1" customWidth="1"/>
    <col min="4" max="4" width="15.285156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7109375" customWidth="1"/>
    <col min="12" max="12" width="23.7109375" customWidth="1"/>
  </cols>
  <sheetData>
    <row r="1" spans="1:11" ht="26.25">
      <c r="A1" s="19" t="s">
        <v>1</v>
      </c>
      <c r="B1" s="8"/>
      <c r="C1" s="8"/>
      <c r="D1" s="8"/>
      <c r="E1" s="8"/>
      <c r="F1" s="8"/>
      <c r="G1" s="8"/>
      <c r="H1" s="8"/>
      <c r="I1" s="8"/>
      <c r="J1" s="8"/>
    </row>
    <row r="2" spans="1:11" ht="17.25">
      <c r="A2" s="20" t="s">
        <v>9</v>
      </c>
      <c r="B2" s="8"/>
      <c r="C2" s="8"/>
      <c r="D2" s="8"/>
      <c r="E2" s="8"/>
      <c r="F2" s="8"/>
      <c r="G2" s="8"/>
      <c r="H2" s="8"/>
      <c r="I2" s="8"/>
      <c r="J2" s="8"/>
    </row>
    <row r="3" spans="1:11" ht="16.5">
      <c r="A3" s="21" t="s">
        <v>457</v>
      </c>
      <c r="B3" s="8"/>
      <c r="C3" s="8"/>
      <c r="D3" s="8"/>
      <c r="E3" s="8"/>
      <c r="F3" s="8"/>
      <c r="G3" s="8"/>
      <c r="H3" s="8"/>
      <c r="I3" s="8"/>
      <c r="J3" s="8"/>
    </row>
    <row r="4" spans="1:11" ht="16.5">
      <c r="A4" s="21"/>
      <c r="B4" s="8"/>
      <c r="C4" s="8"/>
      <c r="D4" s="8"/>
      <c r="E4" s="8"/>
      <c r="F4" s="8"/>
      <c r="G4" s="8"/>
      <c r="H4" s="8"/>
      <c r="I4" s="8"/>
      <c r="J4" s="8"/>
    </row>
    <row r="5" spans="1:11" ht="17.25" thickBot="1">
      <c r="A5" s="8"/>
      <c r="B5" s="8"/>
      <c r="C5" s="8"/>
      <c r="D5" s="8"/>
      <c r="E5" s="8"/>
      <c r="F5" s="8"/>
      <c r="G5" s="22"/>
      <c r="H5" s="8"/>
      <c r="I5" s="8"/>
      <c r="J5" s="8"/>
    </row>
    <row r="6" spans="1:11" ht="21" thickBot="1">
      <c r="A6" s="223" t="str">
        <f>+'S&amp;D'!A12</f>
        <v>Railroad Carriers</v>
      </c>
      <c r="B6" s="160"/>
      <c r="C6" s="8"/>
      <c r="D6" s="24"/>
      <c r="E6" s="24"/>
      <c r="F6" s="478" t="s">
        <v>0</v>
      </c>
      <c r="G6" s="8"/>
      <c r="H6" s="8"/>
      <c r="I6" s="8"/>
      <c r="J6" s="8"/>
    </row>
    <row r="7" spans="1:11" ht="26.25">
      <c r="A7" s="25"/>
      <c r="B7" s="8"/>
      <c r="C7" s="8"/>
      <c r="D7" s="8"/>
      <c r="E7" s="26" t="s">
        <v>250</v>
      </c>
      <c r="F7" s="8"/>
      <c r="G7" s="8"/>
      <c r="H7" s="8"/>
      <c r="I7" s="8"/>
      <c r="J7" s="8"/>
    </row>
    <row r="8" spans="1:11" ht="21" thickBot="1">
      <c r="A8" s="25"/>
      <c r="B8" s="8"/>
      <c r="C8" s="8"/>
      <c r="D8" s="24"/>
      <c r="E8" s="27" t="s">
        <v>470</v>
      </c>
      <c r="F8" s="24"/>
      <c r="G8" s="8"/>
      <c r="H8" s="8"/>
      <c r="I8" s="8"/>
      <c r="J8" s="8"/>
    </row>
    <row r="9" spans="1:11" ht="17.25" thickBot="1">
      <c r="A9" s="28" t="s">
        <v>0</v>
      </c>
      <c r="B9" s="28" t="s">
        <v>0</v>
      </c>
      <c r="C9" s="28" t="s">
        <v>0</v>
      </c>
      <c r="D9" s="28" t="s">
        <v>0</v>
      </c>
      <c r="E9" s="28" t="s">
        <v>0</v>
      </c>
      <c r="F9" s="28"/>
      <c r="G9" s="24"/>
      <c r="H9" s="24"/>
      <c r="I9" s="24"/>
      <c r="J9" s="24"/>
      <c r="K9" s="129"/>
    </row>
    <row r="10" spans="1:11" ht="16.5">
      <c r="A10" s="29" t="s">
        <v>0</v>
      </c>
      <c r="B10" s="29" t="s">
        <v>3</v>
      </c>
      <c r="C10" s="29" t="s">
        <v>5</v>
      </c>
      <c r="D10" s="29" t="s">
        <v>156</v>
      </c>
      <c r="E10" s="29" t="s">
        <v>162</v>
      </c>
      <c r="F10" s="29" t="s">
        <v>162</v>
      </c>
      <c r="G10" s="29" t="s">
        <v>162</v>
      </c>
      <c r="H10" s="29" t="s">
        <v>162</v>
      </c>
      <c r="I10" s="29" t="s">
        <v>162</v>
      </c>
      <c r="J10" s="29" t="s">
        <v>162</v>
      </c>
      <c r="K10" s="29" t="s">
        <v>247</v>
      </c>
    </row>
    <row r="11" spans="1:11" ht="16.5">
      <c r="A11" s="29"/>
      <c r="B11" s="29" t="s">
        <v>4</v>
      </c>
      <c r="C11" s="29" t="s">
        <v>6</v>
      </c>
      <c r="D11" s="29" t="s">
        <v>27</v>
      </c>
      <c r="E11" s="29" t="s">
        <v>158</v>
      </c>
      <c r="F11" s="29" t="s">
        <v>117</v>
      </c>
      <c r="G11" s="29" t="s">
        <v>158</v>
      </c>
      <c r="H11" s="29" t="s">
        <v>117</v>
      </c>
      <c r="I11" s="29" t="s">
        <v>158</v>
      </c>
      <c r="J11" s="29" t="s">
        <v>117</v>
      </c>
      <c r="K11" s="29" t="s">
        <v>173</v>
      </c>
    </row>
    <row r="12" spans="1:11" ht="17.25" thickBot="1">
      <c r="A12" s="31" t="s">
        <v>2</v>
      </c>
      <c r="B12" s="31" t="s">
        <v>0</v>
      </c>
      <c r="C12" s="31" t="s">
        <v>0</v>
      </c>
      <c r="D12" s="31" t="s">
        <v>0</v>
      </c>
      <c r="E12" s="31" t="s">
        <v>160</v>
      </c>
      <c r="F12" s="31" t="s">
        <v>160</v>
      </c>
      <c r="G12" s="31" t="s">
        <v>245</v>
      </c>
      <c r="H12" s="31" t="s">
        <v>245</v>
      </c>
      <c r="I12" s="31" t="s">
        <v>246</v>
      </c>
      <c r="J12" s="31" t="s">
        <v>246</v>
      </c>
      <c r="K12" s="187" t="s">
        <v>248</v>
      </c>
    </row>
    <row r="13" spans="1:11">
      <c r="A13" s="33" t="s">
        <v>7</v>
      </c>
      <c r="B13" s="33" t="s">
        <v>7</v>
      </c>
      <c r="C13" s="33" t="s">
        <v>7</v>
      </c>
      <c r="D13" s="34" t="s">
        <v>113</v>
      </c>
      <c r="E13" s="33" t="s">
        <v>7</v>
      </c>
      <c r="F13" s="33" t="s">
        <v>15</v>
      </c>
      <c r="G13" s="33" t="s">
        <v>7</v>
      </c>
      <c r="H13" s="33" t="s">
        <v>15</v>
      </c>
      <c r="I13" s="33" t="s">
        <v>7</v>
      </c>
      <c r="J13" s="33" t="s">
        <v>15</v>
      </c>
      <c r="K13" s="33" t="s">
        <v>15</v>
      </c>
    </row>
    <row r="14" spans="1:11" ht="16.5">
      <c r="A14" s="29"/>
      <c r="B14" s="29"/>
      <c r="C14" s="29"/>
      <c r="D14" s="29"/>
      <c r="E14" s="29"/>
      <c r="F14" s="29"/>
      <c r="G14" s="8"/>
      <c r="H14" s="8"/>
      <c r="I14" s="8"/>
      <c r="J14" s="8"/>
      <c r="K14" s="8"/>
    </row>
    <row r="15" spans="1:11" ht="16.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17.25">
      <c r="A16" s="38" t="str">
        <f>+'S&amp;D'!A22</f>
        <v>Canadian National</v>
      </c>
      <c r="B16" s="29" t="str">
        <f>+'S&amp;D'!B22</f>
        <v>CNI</v>
      </c>
      <c r="C16" s="29" t="str">
        <f>+'S&amp;D'!C22</f>
        <v>Railroad</v>
      </c>
      <c r="D16" s="53">
        <f>+'S&amp;D'!G22</f>
        <v>98.85</v>
      </c>
      <c r="E16" s="329">
        <v>6</v>
      </c>
      <c r="F16" s="47">
        <f>+E16/D16</f>
        <v>6.0698027314112293E-2</v>
      </c>
      <c r="G16" s="329">
        <v>6.5</v>
      </c>
      <c r="H16" s="47">
        <f>+G16/D16</f>
        <v>6.5756196256954988E-2</v>
      </c>
      <c r="I16" s="329">
        <v>8.5</v>
      </c>
      <c r="J16" s="47">
        <f>+I16/D16</f>
        <v>8.5988872028325752E-2</v>
      </c>
      <c r="K16" s="338">
        <f t="shared" ref="K16" si="0">RATE(3,,-G16,I16)</f>
        <v>9.3541299792876814E-2</v>
      </c>
    </row>
    <row r="17" spans="1:11" ht="17.25">
      <c r="A17" s="38" t="str">
        <f>+'S&amp;D'!A23</f>
        <v>Canadian Pacific Kansas City Limited  CPKC</v>
      </c>
      <c r="B17" s="29" t="str">
        <f>+'S&amp;D'!B23</f>
        <v>CP</v>
      </c>
      <c r="C17" s="29" t="str">
        <f>+'S&amp;D'!C23</f>
        <v>Railroad</v>
      </c>
      <c r="D17" s="53">
        <f>+'S&amp;D'!G23</f>
        <v>73.63</v>
      </c>
      <c r="E17" s="329">
        <v>3.9</v>
      </c>
      <c r="F17" s="47">
        <f t="shared" ref="F17:F20" si="1">+E17/D17</f>
        <v>5.2967540404726336E-2</v>
      </c>
      <c r="G17" s="329">
        <v>4.4000000000000004</v>
      </c>
      <c r="H17" s="47">
        <f t="shared" ref="H17:H20" si="2">+G17/D17</f>
        <v>5.975825071302459E-2</v>
      </c>
      <c r="I17" s="329">
        <v>5.6</v>
      </c>
      <c r="J17" s="47">
        <f t="shared" ref="J17:J20" si="3">+I17/D17</f>
        <v>7.6055955452940374E-2</v>
      </c>
      <c r="K17" s="338">
        <f t="shared" ref="K17:K20" si="4">RATE(3,,-G17,I17)</f>
        <v>8.3706762661830608E-2</v>
      </c>
    </row>
    <row r="18" spans="1:11" ht="17.25">
      <c r="A18" s="38" t="str">
        <f>+'S&amp;D'!A24</f>
        <v>CSX Corp</v>
      </c>
      <c r="B18" s="29" t="str">
        <f>+'S&amp;D'!B24</f>
        <v>CSX</v>
      </c>
      <c r="C18" s="29" t="str">
        <f>+'S&amp;D'!C24</f>
        <v>Railroad</v>
      </c>
      <c r="D18" s="53">
        <f>+'S&amp;D'!G24</f>
        <v>36.25</v>
      </c>
      <c r="E18" s="329">
        <v>1.85</v>
      </c>
      <c r="F18" s="47">
        <f t="shared" si="1"/>
        <v>5.1034482758620693E-2</v>
      </c>
      <c r="G18" s="329">
        <v>2.1</v>
      </c>
      <c r="H18" s="47">
        <f t="shared" si="2"/>
        <v>5.7931034482758624E-2</v>
      </c>
      <c r="I18" s="329">
        <v>2.75</v>
      </c>
      <c r="J18" s="47">
        <f t="shared" si="3"/>
        <v>7.586206896551724E-2</v>
      </c>
      <c r="K18" s="338">
        <f t="shared" si="4"/>
        <v>9.4051585121155384E-2</v>
      </c>
    </row>
    <row r="19" spans="1:11" ht="17.25">
      <c r="A19" s="38" t="str">
        <f>+'S&amp;D'!A25</f>
        <v>Norfolk Southern</v>
      </c>
      <c r="B19" s="29" t="str">
        <f>+'S&amp;D'!B25</f>
        <v>NSC</v>
      </c>
      <c r="C19" s="29" t="str">
        <f>+'S&amp;D'!C25</f>
        <v>Railroad</v>
      </c>
      <c r="D19" s="53">
        <f>+'S&amp;D'!G25</f>
        <v>288.72000000000003</v>
      </c>
      <c r="E19" s="329">
        <v>12.4</v>
      </c>
      <c r="F19" s="47">
        <f t="shared" si="1"/>
        <v>4.2948185092823492E-2</v>
      </c>
      <c r="G19" s="329">
        <v>13.7</v>
      </c>
      <c r="H19" s="47">
        <f t="shared" si="2"/>
        <v>4.7450817400942084E-2</v>
      </c>
      <c r="I19" s="329">
        <v>18</v>
      </c>
      <c r="J19" s="47">
        <f t="shared" si="3"/>
        <v>6.2344139650872814E-2</v>
      </c>
      <c r="K19" s="338">
        <f t="shared" si="4"/>
        <v>9.5260215782632704E-2</v>
      </c>
    </row>
    <row r="20" spans="1:11" ht="17.25">
      <c r="A20" s="38" t="str">
        <f>+'S&amp;D'!A26</f>
        <v>Union Pacific Railroad</v>
      </c>
      <c r="B20" s="29" t="str">
        <f>+'S&amp;D'!B26</f>
        <v>UNP</v>
      </c>
      <c r="C20" s="29" t="str">
        <f>+'S&amp;D'!C26</f>
        <v>Railroad</v>
      </c>
      <c r="D20" s="53">
        <f>+'S&amp;D'!G26</f>
        <v>231.32</v>
      </c>
      <c r="E20" s="329">
        <v>12.4</v>
      </c>
      <c r="F20" s="47">
        <f t="shared" si="1"/>
        <v>5.3605395123638253E-2</v>
      </c>
      <c r="G20" s="329">
        <v>13.6</v>
      </c>
      <c r="H20" s="47">
        <f t="shared" si="2"/>
        <v>5.8793014006570984E-2</v>
      </c>
      <c r="I20" s="329">
        <v>17</v>
      </c>
      <c r="J20" s="47">
        <f t="shared" si="3"/>
        <v>7.3491267508213734E-2</v>
      </c>
      <c r="K20" s="338">
        <f t="shared" si="4"/>
        <v>7.7217345015989536E-2</v>
      </c>
    </row>
    <row r="21" spans="1:11" ht="17.25" thickBot="1">
      <c r="A21" s="8"/>
      <c r="B21" s="8"/>
      <c r="C21" s="38"/>
      <c r="D21" s="41"/>
      <c r="E21" s="41"/>
      <c r="F21" s="41"/>
      <c r="G21" s="41"/>
      <c r="H21" s="41"/>
      <c r="I21" s="41"/>
      <c r="J21" s="41"/>
      <c r="K21" s="41"/>
    </row>
    <row r="22" spans="1:11" ht="17.25" thickTop="1">
      <c r="A22" s="8"/>
      <c r="B22" s="8"/>
      <c r="D22" s="10" t="s">
        <v>46</v>
      </c>
      <c r="E22" s="12">
        <f>MAX(E16:E20)</f>
        <v>12.4</v>
      </c>
      <c r="F22" s="269">
        <f t="shared" ref="F22:K22" si="5">MAX(F16:F20)</f>
        <v>6.0698027314112293E-2</v>
      </c>
      <c r="G22" s="12">
        <f t="shared" si="5"/>
        <v>13.7</v>
      </c>
      <c r="H22" s="269">
        <f t="shared" si="5"/>
        <v>6.5756196256954988E-2</v>
      </c>
      <c r="I22" s="12">
        <f t="shared" si="5"/>
        <v>18</v>
      </c>
      <c r="J22" s="269">
        <f t="shared" si="5"/>
        <v>8.5988872028325752E-2</v>
      </c>
      <c r="K22" s="269">
        <f t="shared" si="5"/>
        <v>9.5260215782632704E-2</v>
      </c>
    </row>
    <row r="23" spans="1:11" ht="16.5">
      <c r="A23" s="8"/>
      <c r="B23" s="8"/>
      <c r="D23" s="284" t="s">
        <v>47</v>
      </c>
      <c r="E23" s="281">
        <f>MIN(E16:E20)</f>
        <v>1.85</v>
      </c>
      <c r="F23" s="282">
        <f t="shared" ref="F23:K23" si="6">MIN(F16:F20)</f>
        <v>4.2948185092823492E-2</v>
      </c>
      <c r="G23" s="281">
        <f t="shared" si="6"/>
        <v>2.1</v>
      </c>
      <c r="H23" s="282">
        <f t="shared" si="6"/>
        <v>4.7450817400942084E-2</v>
      </c>
      <c r="I23" s="281">
        <f t="shared" si="6"/>
        <v>2.75</v>
      </c>
      <c r="J23" s="282">
        <f t="shared" si="6"/>
        <v>6.2344139650872814E-2</v>
      </c>
      <c r="K23" s="282">
        <f t="shared" si="6"/>
        <v>7.7217345015989536E-2</v>
      </c>
    </row>
    <row r="24" spans="1:11" ht="16.5">
      <c r="A24" s="8"/>
      <c r="B24" s="8"/>
      <c r="D24" s="10" t="s">
        <v>18</v>
      </c>
      <c r="E24" s="13">
        <f t="shared" ref="E24:K24" si="7">MEDIAN(E16:E20)</f>
        <v>6</v>
      </c>
      <c r="F24" s="48">
        <f t="shared" si="7"/>
        <v>5.2967540404726336E-2</v>
      </c>
      <c r="G24" s="13">
        <f t="shared" si="7"/>
        <v>6.5</v>
      </c>
      <c r="H24" s="48">
        <f t="shared" si="7"/>
        <v>5.8793014006570984E-2</v>
      </c>
      <c r="I24" s="13">
        <f t="shared" si="7"/>
        <v>8.5</v>
      </c>
      <c r="J24" s="48">
        <f t="shared" si="7"/>
        <v>7.586206896551724E-2</v>
      </c>
      <c r="K24" s="48">
        <f t="shared" si="7"/>
        <v>9.3541299792876814E-2</v>
      </c>
    </row>
    <row r="25" spans="1:11" ht="16.5">
      <c r="A25" s="8"/>
      <c r="B25" s="8"/>
      <c r="D25" s="10" t="s">
        <v>375</v>
      </c>
      <c r="E25" s="17">
        <f t="shared" ref="E25:K25" si="8">AVERAGE(E16:E20)</f>
        <v>7.31</v>
      </c>
      <c r="F25" s="50">
        <f t="shared" si="8"/>
        <v>5.2250726138784211E-2</v>
      </c>
      <c r="G25" s="17">
        <f t="shared" si="8"/>
        <v>8.0599999999999987</v>
      </c>
      <c r="H25" s="50">
        <f t="shared" si="8"/>
        <v>5.7937862572050261E-2</v>
      </c>
      <c r="I25" s="17">
        <f t="shared" si="8"/>
        <v>10.370000000000001</v>
      </c>
      <c r="J25" s="50">
        <f t="shared" si="8"/>
        <v>7.4748460721173984E-2</v>
      </c>
      <c r="K25" s="50">
        <f t="shared" si="8"/>
        <v>8.8755441674897004E-2</v>
      </c>
    </row>
    <row r="26" spans="1:11" ht="16.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26.25">
      <c r="A27" s="8"/>
      <c r="B27" s="8"/>
      <c r="C27" s="8"/>
      <c r="D27" s="8"/>
      <c r="E27" s="8"/>
      <c r="F27" s="43" t="s">
        <v>0</v>
      </c>
      <c r="G27" s="57" t="s">
        <v>0</v>
      </c>
      <c r="H27" s="8"/>
      <c r="I27" s="8"/>
      <c r="J27" s="8"/>
      <c r="K27" s="8"/>
    </row>
    <row r="28" spans="1:11" ht="18.75">
      <c r="A28" s="188" t="s">
        <v>249</v>
      </c>
    </row>
  </sheetData>
  <pageMargins left="0.25" right="0.25" top="0.75" bottom="0.75" header="0.3" footer="0.3"/>
  <pageSetup scale="5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M57"/>
  <sheetViews>
    <sheetView view="pageBreakPreview" zoomScale="80" zoomScaleNormal="80" zoomScaleSheetLayoutView="80" workbookViewId="0">
      <selection activeCell="F6" sqref="F6"/>
    </sheetView>
  </sheetViews>
  <sheetFormatPr defaultRowHeight="15"/>
  <cols>
    <col min="1" max="1" width="39.7109375" customWidth="1"/>
    <col min="2" max="2" width="13.42578125" customWidth="1"/>
    <col min="3" max="3" width="19.140625" bestFit="1" customWidth="1"/>
    <col min="4" max="4" width="20.85546875" customWidth="1"/>
    <col min="5" max="5" width="21.85546875" customWidth="1"/>
    <col min="6" max="6" width="16.140625" customWidth="1"/>
    <col min="7" max="7" width="12.140625" customWidth="1"/>
    <col min="8" max="8" width="18.5703125" customWidth="1"/>
    <col min="9" max="9" width="15.5703125" customWidth="1"/>
    <col min="10" max="11" width="20.5703125" customWidth="1"/>
    <col min="12" max="12" width="26.5703125" customWidth="1"/>
    <col min="13" max="13" width="6.5703125" customWidth="1"/>
  </cols>
  <sheetData>
    <row r="1" spans="1:13" ht="26.25">
      <c r="A1" s="19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7.25">
      <c r="A2" s="20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6.5">
      <c r="A3" s="21" t="s">
        <v>457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6.5">
      <c r="A4" s="21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7.25" thickBot="1">
      <c r="A5" s="8"/>
      <c r="B5" s="8"/>
      <c r="C5" s="8"/>
      <c r="D5" s="8"/>
      <c r="E5" s="8"/>
      <c r="F5" s="8"/>
      <c r="G5" s="22"/>
      <c r="H5" s="22"/>
      <c r="I5" s="8"/>
      <c r="J5" s="8"/>
      <c r="K5" s="8"/>
      <c r="L5" s="8"/>
      <c r="M5" s="8"/>
    </row>
    <row r="6" spans="1:13" ht="21" thickBot="1">
      <c r="A6" s="223" t="str">
        <f>+'S&amp;D'!A12</f>
        <v>Railroad Carriers</v>
      </c>
      <c r="B6" s="160"/>
      <c r="C6" s="8"/>
      <c r="D6" s="24"/>
      <c r="E6" s="24"/>
      <c r="F6" s="478" t="s">
        <v>0</v>
      </c>
      <c r="G6" s="8"/>
      <c r="H6" s="8"/>
      <c r="I6" s="8"/>
      <c r="J6" s="8"/>
      <c r="K6" s="8"/>
      <c r="L6" s="8"/>
      <c r="M6" s="8"/>
    </row>
    <row r="7" spans="1:13" ht="26.25">
      <c r="A7" s="25"/>
      <c r="B7" s="8"/>
      <c r="C7" s="8"/>
      <c r="D7" s="8"/>
      <c r="E7" s="26" t="s">
        <v>455</v>
      </c>
      <c r="F7" s="8"/>
      <c r="G7" s="8"/>
      <c r="H7" s="8"/>
      <c r="I7" s="8"/>
      <c r="J7" s="8"/>
      <c r="K7" s="8"/>
      <c r="L7" s="8"/>
      <c r="M7" s="8"/>
    </row>
    <row r="8" spans="1:13" ht="21" thickBot="1">
      <c r="A8" s="25"/>
      <c r="B8" s="8"/>
      <c r="C8" s="8"/>
      <c r="D8" s="24"/>
      <c r="E8" s="27" t="s">
        <v>470</v>
      </c>
      <c r="F8" s="24"/>
      <c r="G8" s="8"/>
      <c r="H8" s="8"/>
      <c r="I8" s="8"/>
      <c r="J8" s="8"/>
      <c r="K8" s="8"/>
      <c r="L8" s="8"/>
      <c r="M8" s="8"/>
    </row>
    <row r="9" spans="1:13" ht="17.25" thickBot="1">
      <c r="A9" s="28" t="s">
        <v>0</v>
      </c>
      <c r="B9" s="28" t="s">
        <v>0</v>
      </c>
      <c r="C9" s="28" t="s">
        <v>0</v>
      </c>
      <c r="D9" s="28" t="s">
        <v>0</v>
      </c>
      <c r="E9" s="28" t="s">
        <v>0</v>
      </c>
      <c r="F9" s="28" t="s">
        <v>0</v>
      </c>
      <c r="G9" s="28"/>
      <c r="H9" s="28"/>
      <c r="I9" s="28" t="s">
        <v>0</v>
      </c>
      <c r="J9" s="24"/>
      <c r="L9" s="8"/>
      <c r="M9" s="8"/>
    </row>
    <row r="10" spans="1:13" ht="16.5">
      <c r="A10" s="29" t="s">
        <v>0</v>
      </c>
      <c r="B10" s="29" t="s">
        <v>3</v>
      </c>
      <c r="C10" s="29" t="s">
        <v>5</v>
      </c>
      <c r="D10" s="29" t="s">
        <v>21</v>
      </c>
      <c r="E10" s="29" t="s">
        <v>20</v>
      </c>
      <c r="F10" s="29" t="s">
        <v>51</v>
      </c>
      <c r="G10" s="29" t="s">
        <v>125</v>
      </c>
      <c r="H10" s="29" t="s">
        <v>454</v>
      </c>
      <c r="I10" s="29" t="s">
        <v>125</v>
      </c>
      <c r="J10" s="29" t="s">
        <v>48</v>
      </c>
      <c r="L10" s="8"/>
      <c r="M10" s="8"/>
    </row>
    <row r="11" spans="1:13" ht="17.25" thickBot="1">
      <c r="A11" s="31" t="s">
        <v>2</v>
      </c>
      <c r="B11" s="31" t="s">
        <v>4</v>
      </c>
      <c r="C11" s="31" t="s">
        <v>6</v>
      </c>
      <c r="D11" s="31" t="s">
        <v>23</v>
      </c>
      <c r="E11" s="31" t="s">
        <v>22</v>
      </c>
      <c r="F11" s="31" t="s">
        <v>49</v>
      </c>
      <c r="G11" s="31" t="s">
        <v>49</v>
      </c>
      <c r="H11" s="31" t="s">
        <v>49</v>
      </c>
      <c r="I11" s="31" t="s">
        <v>49</v>
      </c>
      <c r="J11" s="31" t="s">
        <v>50</v>
      </c>
      <c r="L11" s="8"/>
      <c r="M11" s="8"/>
    </row>
    <row r="12" spans="1:13" ht="16.5">
      <c r="A12" s="33" t="s">
        <v>7</v>
      </c>
      <c r="B12" s="33" t="s">
        <v>7</v>
      </c>
      <c r="C12" s="33" t="s">
        <v>7</v>
      </c>
      <c r="D12" s="33" t="s">
        <v>7</v>
      </c>
      <c r="E12" s="33" t="s">
        <v>7</v>
      </c>
      <c r="F12" s="33" t="s">
        <v>0</v>
      </c>
      <c r="G12" s="33" t="s">
        <v>0</v>
      </c>
      <c r="H12" s="33" t="s">
        <v>0</v>
      </c>
      <c r="I12" s="33" t="s">
        <v>0</v>
      </c>
      <c r="J12" s="33" t="s">
        <v>0</v>
      </c>
      <c r="L12" s="8"/>
      <c r="M12" s="8"/>
    </row>
    <row r="13" spans="1:13" ht="16.5">
      <c r="A13" s="29"/>
      <c r="B13" s="29"/>
      <c r="C13" s="29"/>
      <c r="D13" s="29"/>
      <c r="E13" s="29"/>
      <c r="F13" s="29"/>
      <c r="G13" s="29"/>
      <c r="H13" s="29"/>
      <c r="I13" s="29"/>
      <c r="J13" s="29"/>
      <c r="L13" s="8"/>
      <c r="M13" s="8"/>
    </row>
    <row r="14" spans="1:13" ht="16.5">
      <c r="A14" s="8"/>
      <c r="B14" s="8"/>
      <c r="C14" s="8"/>
      <c r="D14" s="8"/>
      <c r="E14" s="8"/>
      <c r="F14" s="8"/>
      <c r="G14" s="8"/>
      <c r="H14" s="8"/>
      <c r="I14" s="8"/>
      <c r="J14" s="8"/>
      <c r="L14" s="8"/>
      <c r="M14" s="8"/>
    </row>
    <row r="15" spans="1:13" ht="17.25">
      <c r="A15" s="56" t="str">
        <f>+'S&amp;D'!A22</f>
        <v>Canadian National</v>
      </c>
      <c r="B15" s="83" t="str">
        <f>+'S&amp;D'!B22</f>
        <v>CNI</v>
      </c>
      <c r="C15" s="29" t="str">
        <f>+'S&amp;D'!C22</f>
        <v>Railroad</v>
      </c>
      <c r="D15" s="47">
        <f>+'Beta for CAPM'!D18</f>
        <v>0.25</v>
      </c>
      <c r="E15" s="29" t="str">
        <f>+'Beta for CAPM'!G18</f>
        <v>A+</v>
      </c>
      <c r="F15" s="29" t="s">
        <v>60</v>
      </c>
      <c r="G15" s="340">
        <v>9</v>
      </c>
      <c r="H15" s="55" t="s">
        <v>134</v>
      </c>
      <c r="I15" s="339">
        <f>VLOOKUP(H15,$A$33:$E$56,2,0)</f>
        <v>8</v>
      </c>
      <c r="J15" s="456">
        <f>VLOOKUP(I15,$B$33:$E$56,3,0)</f>
        <v>5.6300000000000003E-2</v>
      </c>
      <c r="L15" s="8"/>
      <c r="M15" s="8"/>
    </row>
    <row r="16" spans="1:13" ht="17.25">
      <c r="A16" s="56" t="str">
        <f>+'S&amp;D'!A23</f>
        <v>Canadian Pacific Kansas City Limited  CPKC</v>
      </c>
      <c r="B16" s="83" t="str">
        <f>+'S&amp;D'!B23</f>
        <v>CP</v>
      </c>
      <c r="C16" s="29" t="str">
        <f>+'S&amp;D'!C23</f>
        <v>Railroad</v>
      </c>
      <c r="D16" s="47">
        <f>+'Beta for CAPM'!D19</f>
        <v>0.25</v>
      </c>
      <c r="E16" s="29" t="str">
        <f>+'Beta for CAPM'!G19</f>
        <v>A</v>
      </c>
      <c r="F16" s="29" t="s">
        <v>295</v>
      </c>
      <c r="G16" s="340">
        <v>10</v>
      </c>
      <c r="H16" s="55" t="s">
        <v>53</v>
      </c>
      <c r="I16" s="339">
        <f t="shared" ref="I16:I19" si="0">VLOOKUP(H16,$A$33:$E$56,2,0)</f>
        <v>10</v>
      </c>
      <c r="J16" s="456">
        <f t="shared" ref="J16:J19" si="1">VLOOKUP(I16,$B$33:$E$56,3,0)</f>
        <v>5.8999999999999997E-2</v>
      </c>
      <c r="L16" s="8"/>
      <c r="M16" s="8"/>
    </row>
    <row r="17" spans="1:13" ht="17.25">
      <c r="A17" s="56" t="str">
        <f>+'S&amp;D'!A24</f>
        <v>CSX Corp</v>
      </c>
      <c r="B17" s="83" t="str">
        <f>+'S&amp;D'!B24</f>
        <v>CSX</v>
      </c>
      <c r="C17" s="29" t="str">
        <f>+'S&amp;D'!C24</f>
        <v>Railroad</v>
      </c>
      <c r="D17" s="47">
        <f>+'Beta for CAPM'!D20</f>
        <v>0.23</v>
      </c>
      <c r="E17" s="29" t="str">
        <f>+'Beta for CAPM'!G20</f>
        <v>A</v>
      </c>
      <c r="F17" s="29" t="s">
        <v>295</v>
      </c>
      <c r="G17" s="340">
        <v>10</v>
      </c>
      <c r="H17" s="55" t="s">
        <v>58</v>
      </c>
      <c r="I17" s="339">
        <f t="shared" si="0"/>
        <v>9</v>
      </c>
      <c r="J17" s="456">
        <f t="shared" si="1"/>
        <v>5.6300000000000003E-2</v>
      </c>
      <c r="L17" s="8"/>
      <c r="M17" s="8"/>
    </row>
    <row r="18" spans="1:13" ht="17.25">
      <c r="A18" s="56" t="str">
        <f>+'S&amp;D'!A25</f>
        <v>Norfolk Southern</v>
      </c>
      <c r="B18" s="83" t="str">
        <f>+'S&amp;D'!B25</f>
        <v>NSC</v>
      </c>
      <c r="C18" s="29" t="str">
        <f>+'S&amp;D'!C25</f>
        <v>Railroad</v>
      </c>
      <c r="D18" s="47">
        <f>+'Beta for CAPM'!D21</f>
        <v>0.22</v>
      </c>
      <c r="E18" s="29" t="str">
        <f>+'Beta for CAPM'!G21</f>
        <v>A</v>
      </c>
      <c r="F18" s="219" t="s">
        <v>295</v>
      </c>
      <c r="G18" s="340">
        <v>10</v>
      </c>
      <c r="H18" s="55" t="s">
        <v>53</v>
      </c>
      <c r="I18" s="339">
        <f t="shared" si="0"/>
        <v>10</v>
      </c>
      <c r="J18" s="456">
        <f t="shared" si="1"/>
        <v>5.8999999999999997E-2</v>
      </c>
      <c r="L18" s="8"/>
      <c r="M18" s="8"/>
    </row>
    <row r="19" spans="1:13" ht="17.25">
      <c r="A19" s="56" t="str">
        <f>+'S&amp;D'!A26</f>
        <v>Union Pacific Railroad</v>
      </c>
      <c r="B19" s="83" t="str">
        <f>+'S&amp;D'!B26</f>
        <v>UNP</v>
      </c>
      <c r="C19" s="29" t="str">
        <f>+'S&amp;D'!C26</f>
        <v>Railroad</v>
      </c>
      <c r="D19" s="47">
        <f>+'Beta for CAPM'!D22</f>
        <v>0.24</v>
      </c>
      <c r="E19" s="29" t="str">
        <f>+'Beta for CAPM'!G22</f>
        <v>A+</v>
      </c>
      <c r="F19" s="29" t="s">
        <v>60</v>
      </c>
      <c r="G19" s="340">
        <v>9</v>
      </c>
      <c r="H19" s="55" t="s">
        <v>58</v>
      </c>
      <c r="I19" s="339">
        <f t="shared" si="0"/>
        <v>9</v>
      </c>
      <c r="J19" s="456">
        <f t="shared" si="1"/>
        <v>5.6300000000000003E-2</v>
      </c>
      <c r="L19" s="8"/>
      <c r="M19" s="8"/>
    </row>
    <row r="20" spans="1:13" ht="17.25" thickBot="1">
      <c r="A20" s="8"/>
      <c r="B20" s="8"/>
      <c r="C20" s="38"/>
      <c r="D20" s="41"/>
      <c r="E20" s="41"/>
      <c r="F20" s="41"/>
      <c r="G20" s="41"/>
      <c r="H20" s="41" t="s">
        <v>45</v>
      </c>
      <c r="I20" s="41"/>
      <c r="J20" s="41"/>
      <c r="L20" s="8"/>
      <c r="M20" s="8"/>
    </row>
    <row r="21" spans="1:13" ht="17.25" thickTop="1">
      <c r="A21" s="8"/>
      <c r="B21" s="8"/>
      <c r="E21" s="10" t="s">
        <v>46</v>
      </c>
      <c r="G21" s="279">
        <f>MAX(G15:G19)</f>
        <v>10</v>
      </c>
      <c r="H21" s="267"/>
      <c r="I21" s="279">
        <f>MAX(I15:I19)</f>
        <v>10</v>
      </c>
      <c r="J21" s="267">
        <f>MAX(J15:J19)</f>
        <v>5.8999999999999997E-2</v>
      </c>
      <c r="L21" s="8"/>
      <c r="M21" s="8"/>
    </row>
    <row r="22" spans="1:13" ht="16.5">
      <c r="A22" s="8"/>
      <c r="B22" s="8"/>
      <c r="E22" s="284" t="s">
        <v>47</v>
      </c>
      <c r="F22" s="205"/>
      <c r="G22" s="280">
        <f>MIN(G15:G19)</f>
        <v>9</v>
      </c>
      <c r="H22" s="268"/>
      <c r="I22" s="280">
        <f>MIN(I15:I19)</f>
        <v>8</v>
      </c>
      <c r="J22" s="268">
        <f>MIN(J15:J19)</f>
        <v>5.6300000000000003E-2</v>
      </c>
      <c r="L22" s="8"/>
      <c r="M22" s="8"/>
    </row>
    <row r="23" spans="1:13" ht="16.5">
      <c r="A23" s="8"/>
      <c r="B23" s="8"/>
      <c r="E23" s="10" t="s">
        <v>18</v>
      </c>
      <c r="G23" s="180">
        <f>MEDIAN(G15:G19)</f>
        <v>10</v>
      </c>
      <c r="H23" s="49" t="s">
        <v>0</v>
      </c>
      <c r="I23" s="180">
        <f>MEDIAN(I15:I19)</f>
        <v>9</v>
      </c>
      <c r="J23" s="49">
        <f>MEDIAN(J15:J19)</f>
        <v>5.6300000000000003E-2</v>
      </c>
      <c r="L23" s="8"/>
      <c r="M23" s="8"/>
    </row>
    <row r="24" spans="1:13" ht="16.5">
      <c r="A24" s="8"/>
      <c r="B24" s="8"/>
      <c r="D24" s="10" t="s">
        <v>0</v>
      </c>
      <c r="E24" s="10" t="s">
        <v>375</v>
      </c>
      <c r="G24" s="180">
        <f>AVERAGE(G15:G19)</f>
        <v>9.6</v>
      </c>
      <c r="H24" s="49" t="s">
        <v>0</v>
      </c>
      <c r="I24" s="180">
        <f>AVERAGE(I15:I19)</f>
        <v>9.1999999999999993</v>
      </c>
      <c r="J24" s="49">
        <f>AVERAGE(J15:J19)</f>
        <v>5.738E-2</v>
      </c>
      <c r="L24" s="8"/>
      <c r="M24" s="8"/>
    </row>
    <row r="25" spans="1:13" ht="16.5">
      <c r="A25" s="8"/>
      <c r="B25" s="8"/>
      <c r="D25" s="50"/>
      <c r="E25" s="10"/>
      <c r="G25" s="180"/>
      <c r="H25" s="49"/>
      <c r="I25" s="180"/>
      <c r="J25" s="49"/>
      <c r="L25" s="8"/>
      <c r="M25" s="8"/>
    </row>
    <row r="26" spans="1:13" ht="17.25" thickBot="1">
      <c r="A26" s="8"/>
      <c r="B26" s="8"/>
      <c r="C26" s="8"/>
      <c r="D26" s="8"/>
      <c r="E26" s="10"/>
      <c r="F26" s="50"/>
      <c r="H26" s="8"/>
      <c r="I26" s="8"/>
      <c r="J26" s="8"/>
      <c r="K26" s="8"/>
      <c r="L26" s="8"/>
      <c r="M26" s="8"/>
    </row>
    <row r="27" spans="1:13" ht="27" thickBot="1">
      <c r="A27" s="8"/>
      <c r="B27" s="8"/>
      <c r="C27" s="8"/>
      <c r="D27" s="8"/>
      <c r="E27" s="8"/>
      <c r="F27" s="153"/>
      <c r="G27" s="277"/>
      <c r="H27" s="154" t="s">
        <v>229</v>
      </c>
      <c r="I27" s="156"/>
      <c r="J27" s="155">
        <v>5.74E-2</v>
      </c>
      <c r="K27" s="8"/>
      <c r="L27" s="8"/>
      <c r="M27" s="8"/>
    </row>
    <row r="28" spans="1:13" ht="16.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ht="16.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6.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ht="21" thickBot="1">
      <c r="A31" s="237" t="s">
        <v>138</v>
      </c>
      <c r="B31" s="8"/>
      <c r="G31" s="8"/>
      <c r="H31" s="8"/>
      <c r="I31" s="8"/>
      <c r="J31" s="8"/>
      <c r="K31" s="8"/>
      <c r="L31" s="8"/>
      <c r="M31" s="8"/>
    </row>
    <row r="32" spans="1:13" ht="27.6" customHeight="1">
      <c r="A32" s="366" t="s">
        <v>453</v>
      </c>
      <c r="B32" s="366" t="s">
        <v>306</v>
      </c>
      <c r="C32" s="366" t="s">
        <v>376</v>
      </c>
      <c r="D32" s="382" t="s">
        <v>412</v>
      </c>
      <c r="E32" s="382" t="s">
        <v>413</v>
      </c>
      <c r="F32" s="8"/>
      <c r="G32" s="8"/>
      <c r="H32" s="8"/>
      <c r="I32" s="8"/>
      <c r="M32" s="8"/>
    </row>
    <row r="33" spans="1:13" ht="17.25">
      <c r="A33" s="243" t="s">
        <v>318</v>
      </c>
      <c r="B33" s="247">
        <v>1</v>
      </c>
      <c r="C33" s="244" t="s">
        <v>317</v>
      </c>
      <c r="D33" s="367">
        <v>5.3100000000000001E-2</v>
      </c>
      <c r="E33" s="367">
        <v>5.3100000000000001E-2</v>
      </c>
      <c r="F33" s="8"/>
      <c r="G33" s="8"/>
      <c r="H33" s="8"/>
      <c r="I33" s="8"/>
      <c r="M33" s="8"/>
    </row>
    <row r="34" spans="1:13" ht="17.25">
      <c r="A34" s="51" t="s">
        <v>319</v>
      </c>
      <c r="B34" s="238">
        <v>2</v>
      </c>
      <c r="C34" s="245" t="s">
        <v>291</v>
      </c>
      <c r="D34" s="367">
        <v>5.3100000000000001E-2</v>
      </c>
      <c r="E34" s="367">
        <v>5.3100000000000001E-2</v>
      </c>
      <c r="F34" s="8" t="s">
        <v>186</v>
      </c>
      <c r="H34" s="8"/>
      <c r="I34" s="8"/>
      <c r="J34" s="8"/>
      <c r="M34" s="8"/>
    </row>
    <row r="35" spans="1:13" ht="18" thickBot="1">
      <c r="A35" s="52" t="s">
        <v>320</v>
      </c>
      <c r="B35" s="240">
        <v>3</v>
      </c>
      <c r="C35" s="246" t="s">
        <v>316</v>
      </c>
      <c r="D35" s="368">
        <v>5.3100000000000001E-2</v>
      </c>
      <c r="E35" s="367">
        <v>5.3100000000000001E-2</v>
      </c>
      <c r="F35" s="8"/>
      <c r="H35" s="8"/>
      <c r="I35" s="8"/>
      <c r="J35" s="8"/>
      <c r="M35" s="8"/>
    </row>
    <row r="36" spans="1:13" ht="17.25">
      <c r="A36" s="51" t="s">
        <v>137</v>
      </c>
      <c r="B36" s="238">
        <v>4</v>
      </c>
      <c r="C36" s="239" t="s">
        <v>290</v>
      </c>
      <c r="D36" s="367">
        <v>5.4899999999999997E-2</v>
      </c>
      <c r="E36" s="367">
        <v>5.57E-2</v>
      </c>
      <c r="F36" s="8"/>
      <c r="H36" s="8"/>
      <c r="I36" s="8"/>
      <c r="J36" s="8"/>
      <c r="M36" s="8"/>
    </row>
    <row r="37" spans="1:13" ht="17.25">
      <c r="A37" s="51" t="s">
        <v>136</v>
      </c>
      <c r="B37" s="238">
        <v>5</v>
      </c>
      <c r="C37" s="239" t="s">
        <v>292</v>
      </c>
      <c r="D37" s="367">
        <v>5.4899999999999997E-2</v>
      </c>
      <c r="E37" s="367">
        <v>5.57E-2</v>
      </c>
      <c r="F37" s="8" t="s">
        <v>293</v>
      </c>
      <c r="H37" s="8"/>
      <c r="I37" s="8"/>
      <c r="J37" s="8"/>
      <c r="M37" s="8"/>
    </row>
    <row r="38" spans="1:13" ht="18" thickBot="1">
      <c r="A38" s="52" t="s">
        <v>135</v>
      </c>
      <c r="B38" s="240">
        <v>6</v>
      </c>
      <c r="C38" s="241" t="s">
        <v>294</v>
      </c>
      <c r="D38" s="369">
        <v>5.4899999999999997E-2</v>
      </c>
      <c r="E38" s="367">
        <v>5.57E-2</v>
      </c>
      <c r="F38" s="8"/>
      <c r="H38" s="8"/>
      <c r="I38" s="8"/>
      <c r="J38" s="8"/>
      <c r="M38" s="8"/>
    </row>
    <row r="39" spans="1:13" ht="17.25">
      <c r="A39" s="51" t="s">
        <v>56</v>
      </c>
      <c r="B39" s="238">
        <v>7</v>
      </c>
      <c r="C39" s="239" t="s">
        <v>44</v>
      </c>
      <c r="D39" s="370">
        <v>5.6300000000000003E-2</v>
      </c>
      <c r="E39" s="371">
        <v>5.6800000000000003E-2</v>
      </c>
      <c r="H39" s="8"/>
      <c r="I39" s="8"/>
      <c r="J39" s="8"/>
      <c r="M39" s="8"/>
    </row>
    <row r="40" spans="1:13" ht="17.25">
      <c r="A40" s="51" t="s">
        <v>134</v>
      </c>
      <c r="B40" s="238">
        <v>8</v>
      </c>
      <c r="C40" s="239" t="s">
        <v>24</v>
      </c>
      <c r="D40" s="371">
        <v>5.6300000000000003E-2</v>
      </c>
      <c r="E40" s="371">
        <v>5.6800000000000003E-2</v>
      </c>
      <c r="F40" s="8" t="s">
        <v>187</v>
      </c>
      <c r="H40" s="8"/>
      <c r="I40" s="8"/>
      <c r="J40" s="8"/>
      <c r="M40" s="8"/>
    </row>
    <row r="41" spans="1:13" ht="18" thickBot="1">
      <c r="A41" s="52" t="s">
        <v>58</v>
      </c>
      <c r="B41" s="240">
        <v>9</v>
      </c>
      <c r="C41" s="241" t="s">
        <v>60</v>
      </c>
      <c r="D41" s="369">
        <v>5.6300000000000003E-2</v>
      </c>
      <c r="E41" s="371">
        <v>5.6800000000000003E-2</v>
      </c>
      <c r="F41" s="8"/>
      <c r="H41" s="8"/>
      <c r="I41" s="8"/>
      <c r="J41" s="8"/>
      <c r="M41" s="8"/>
    </row>
    <row r="42" spans="1:13" ht="17.25">
      <c r="A42" s="51" t="s">
        <v>53</v>
      </c>
      <c r="B42" s="238">
        <v>10</v>
      </c>
      <c r="C42" s="239" t="s">
        <v>295</v>
      </c>
      <c r="D42" s="371">
        <v>5.8999999999999997E-2</v>
      </c>
      <c r="E42" s="371">
        <v>5.8799999999999998E-2</v>
      </c>
      <c r="H42" s="8"/>
      <c r="I42" s="8"/>
      <c r="J42" s="8"/>
      <c r="K42" s="8"/>
      <c r="L42" s="8"/>
      <c r="M42" s="8"/>
    </row>
    <row r="43" spans="1:13" ht="17.25">
      <c r="A43" s="51" t="s">
        <v>54</v>
      </c>
      <c r="B43" s="238">
        <v>11</v>
      </c>
      <c r="C43" s="239" t="s">
        <v>296</v>
      </c>
      <c r="D43" s="371">
        <v>5.8999999999999997E-2</v>
      </c>
      <c r="E43" s="371">
        <v>5.8799999999999998E-2</v>
      </c>
      <c r="F43" s="8" t="s">
        <v>190</v>
      </c>
      <c r="H43" s="8"/>
      <c r="I43" s="8"/>
      <c r="J43" s="8"/>
      <c r="K43" s="8"/>
      <c r="L43" s="8"/>
      <c r="M43" s="8"/>
    </row>
    <row r="44" spans="1:13" ht="18" thickBot="1">
      <c r="A44" s="52" t="s">
        <v>59</v>
      </c>
      <c r="B44" s="240">
        <v>12</v>
      </c>
      <c r="C44" s="241" t="s">
        <v>297</v>
      </c>
      <c r="D44" s="371">
        <v>5.8999999999999997E-2</v>
      </c>
      <c r="E44" s="371">
        <v>5.8799999999999998E-2</v>
      </c>
      <c r="F44" s="8"/>
      <c r="H44" s="8"/>
      <c r="I44" s="8"/>
      <c r="J44" s="8"/>
      <c r="K44" s="8"/>
      <c r="L44" s="8"/>
      <c r="M44" s="8"/>
    </row>
    <row r="45" spans="1:13" ht="17.25">
      <c r="A45" s="51" t="s">
        <v>57</v>
      </c>
      <c r="B45" s="238">
        <v>13</v>
      </c>
      <c r="C45" s="239" t="s">
        <v>298</v>
      </c>
      <c r="D45" s="370">
        <v>8.1299999999999997E-2</v>
      </c>
      <c r="E45" s="367">
        <v>8.14E-2</v>
      </c>
      <c r="H45" s="8"/>
      <c r="I45" s="8"/>
      <c r="J45" s="8"/>
      <c r="K45" s="8"/>
      <c r="L45" s="8"/>
      <c r="M45" s="8"/>
    </row>
    <row r="46" spans="1:13" ht="17.25">
      <c r="A46" s="51" t="s">
        <v>133</v>
      </c>
      <c r="B46" s="238">
        <v>14</v>
      </c>
      <c r="C46" s="239" t="s">
        <v>299</v>
      </c>
      <c r="D46" s="367">
        <v>8.1299999999999997E-2</v>
      </c>
      <c r="E46" s="367">
        <v>8.14E-2</v>
      </c>
      <c r="F46" s="8" t="s">
        <v>189</v>
      </c>
      <c r="H46" s="8"/>
      <c r="I46" s="8"/>
      <c r="J46" s="8"/>
      <c r="K46" s="8"/>
      <c r="L46" s="8"/>
      <c r="M46" s="8"/>
    </row>
    <row r="47" spans="1:13" ht="18" thickBot="1">
      <c r="A47" s="52" t="s">
        <v>132</v>
      </c>
      <c r="B47" s="240">
        <v>15</v>
      </c>
      <c r="C47" s="241" t="s">
        <v>300</v>
      </c>
      <c r="D47" s="368">
        <v>8.1299999999999997E-2</v>
      </c>
      <c r="E47" s="367">
        <v>8.14E-2</v>
      </c>
      <c r="F47" s="8"/>
      <c r="H47" s="8"/>
      <c r="I47" s="8"/>
      <c r="J47" s="8"/>
      <c r="K47" s="8"/>
      <c r="L47" s="8"/>
      <c r="M47" s="8"/>
    </row>
    <row r="48" spans="1:13" ht="17.25">
      <c r="A48" s="51" t="s">
        <v>131</v>
      </c>
      <c r="B48" s="238">
        <v>16</v>
      </c>
      <c r="C48" s="239" t="s">
        <v>25</v>
      </c>
      <c r="D48" s="370">
        <v>8.9899999999999994E-2</v>
      </c>
      <c r="E48" s="371">
        <v>0.09</v>
      </c>
      <c r="H48" s="8"/>
      <c r="I48" s="8"/>
      <c r="J48" s="8"/>
      <c r="K48" s="8"/>
      <c r="L48" s="8"/>
      <c r="M48" s="8"/>
    </row>
    <row r="49" spans="1:13" ht="17.25">
      <c r="A49" s="51" t="s">
        <v>130</v>
      </c>
      <c r="B49" s="238">
        <v>17</v>
      </c>
      <c r="C49" s="239" t="s">
        <v>89</v>
      </c>
      <c r="D49" s="371">
        <v>8.9899999999999994E-2</v>
      </c>
      <c r="E49" s="371">
        <v>0.09</v>
      </c>
      <c r="F49" s="8" t="s">
        <v>188</v>
      </c>
      <c r="H49" s="8"/>
      <c r="I49" s="8"/>
      <c r="J49" s="8"/>
      <c r="K49" s="8"/>
      <c r="L49" s="8"/>
      <c r="M49" s="8"/>
    </row>
    <row r="50" spans="1:13" ht="18" thickBot="1">
      <c r="A50" s="52" t="s">
        <v>129</v>
      </c>
      <c r="B50" s="240">
        <v>18</v>
      </c>
      <c r="C50" s="241" t="s">
        <v>301</v>
      </c>
      <c r="D50" s="368">
        <v>8.9899999999999994E-2</v>
      </c>
      <c r="E50" s="371">
        <v>0.09</v>
      </c>
      <c r="F50" s="8"/>
      <c r="H50" s="8"/>
      <c r="I50" s="8"/>
      <c r="J50" s="8"/>
      <c r="K50" s="8"/>
      <c r="L50" s="8"/>
      <c r="M50" s="8"/>
    </row>
    <row r="51" spans="1:13" ht="17.25">
      <c r="A51" s="51" t="s">
        <v>128</v>
      </c>
      <c r="B51" s="238">
        <v>19</v>
      </c>
      <c r="C51" s="239" t="s">
        <v>302</v>
      </c>
      <c r="D51" s="371">
        <v>9.8500000000000004E-2</v>
      </c>
      <c r="E51" s="371">
        <v>9.8599999999999993E-2</v>
      </c>
      <c r="H51" s="8"/>
      <c r="I51" s="8"/>
      <c r="J51" s="8"/>
      <c r="K51" s="8"/>
      <c r="L51" s="8"/>
      <c r="M51" s="8"/>
    </row>
    <row r="52" spans="1:13" ht="17.25">
      <c r="A52" s="51" t="s">
        <v>127</v>
      </c>
      <c r="B52" s="238">
        <v>20</v>
      </c>
      <c r="C52" s="239" t="s">
        <v>303</v>
      </c>
      <c r="D52" s="371">
        <v>9.8500000000000004E-2</v>
      </c>
      <c r="E52" s="371">
        <v>9.8599999999999993E-2</v>
      </c>
      <c r="F52" s="8" t="s">
        <v>185</v>
      </c>
      <c r="H52" s="8"/>
      <c r="I52" s="8"/>
      <c r="J52" s="8"/>
      <c r="K52" s="8"/>
      <c r="L52" s="8"/>
      <c r="M52" s="8"/>
    </row>
    <row r="53" spans="1:13" ht="18" thickBot="1">
      <c r="A53" s="52" t="s">
        <v>126</v>
      </c>
      <c r="B53" s="240">
        <v>21</v>
      </c>
      <c r="C53" s="346" t="s">
        <v>304</v>
      </c>
      <c r="D53" s="369">
        <v>9.8500000000000004E-2</v>
      </c>
      <c r="E53" s="371">
        <v>9.8599999999999993E-2</v>
      </c>
      <c r="F53" s="8"/>
      <c r="H53" s="8"/>
      <c r="I53" s="8"/>
      <c r="J53" s="8"/>
      <c r="K53" s="8"/>
      <c r="L53" s="8"/>
      <c r="M53" s="8"/>
    </row>
    <row r="54" spans="1:13" ht="17.25">
      <c r="A54" s="344" t="s">
        <v>311</v>
      </c>
      <c r="B54" s="372">
        <v>22</v>
      </c>
      <c r="C54" s="373" t="s">
        <v>314</v>
      </c>
      <c r="D54" s="371"/>
      <c r="E54" s="371"/>
      <c r="H54" s="8"/>
      <c r="I54" s="8"/>
      <c r="J54" s="8"/>
      <c r="K54" s="8"/>
      <c r="L54" s="8"/>
      <c r="M54" s="8"/>
    </row>
    <row r="55" spans="1:13" ht="17.25">
      <c r="A55" s="344" t="s">
        <v>312</v>
      </c>
      <c r="B55" s="374">
        <v>23</v>
      </c>
      <c r="C55" s="375" t="s">
        <v>305</v>
      </c>
      <c r="D55" s="371"/>
      <c r="E55" s="371"/>
      <c r="F55" s="8" t="s">
        <v>183</v>
      </c>
      <c r="H55" s="8"/>
      <c r="I55" s="8"/>
      <c r="J55" s="8"/>
      <c r="K55" s="8"/>
      <c r="L55" s="8"/>
      <c r="M55" s="8"/>
    </row>
    <row r="56" spans="1:13" ht="18" thickBot="1">
      <c r="A56" s="345" t="s">
        <v>313</v>
      </c>
      <c r="B56" s="347">
        <v>24</v>
      </c>
      <c r="C56" s="346" t="s">
        <v>315</v>
      </c>
      <c r="D56" s="371"/>
      <c r="E56" s="371"/>
      <c r="F56" s="8"/>
      <c r="H56" s="8"/>
      <c r="I56" s="8"/>
      <c r="J56" s="8"/>
      <c r="K56" s="8"/>
      <c r="L56" s="8"/>
      <c r="M56" s="8"/>
    </row>
    <row r="57" spans="1:13" ht="18" thickBot="1">
      <c r="A57" s="52" t="s">
        <v>244</v>
      </c>
      <c r="B57" s="240">
        <v>25</v>
      </c>
      <c r="C57" s="52" t="s">
        <v>90</v>
      </c>
      <c r="D57" s="376"/>
      <c r="E57" s="376"/>
      <c r="F57" s="8" t="s">
        <v>184</v>
      </c>
      <c r="H57" s="8"/>
      <c r="I57" s="8"/>
      <c r="J57" s="8"/>
      <c r="K57" s="8"/>
      <c r="L57" s="8"/>
    </row>
  </sheetData>
  <pageMargins left="0.25" right="0.25" top="0.75" bottom="0.75" header="0.3" footer="0.3"/>
  <pageSetup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N36"/>
  <sheetViews>
    <sheetView view="pageBreakPreview" zoomScale="60" zoomScaleNormal="80" workbookViewId="0">
      <selection activeCell="D4" sqref="D4"/>
    </sheetView>
  </sheetViews>
  <sheetFormatPr defaultRowHeight="15"/>
  <cols>
    <col min="1" max="1" width="48.85546875" customWidth="1"/>
    <col min="2" max="2" width="13.140625" customWidth="1"/>
    <col min="3" max="3" width="19.85546875" customWidth="1"/>
    <col min="4" max="4" width="24.7109375" customWidth="1"/>
    <col min="5" max="5" width="22.7109375" customWidth="1"/>
    <col min="6" max="7" width="21.28515625" customWidth="1"/>
    <col min="8" max="8" width="12.42578125" customWidth="1"/>
    <col min="9" max="9" width="18.42578125" customWidth="1"/>
    <col min="10" max="10" width="21.28515625" customWidth="1"/>
    <col min="11" max="11" width="2.28515625" customWidth="1"/>
    <col min="12" max="12" width="22.7109375" customWidth="1"/>
    <col min="13" max="13" width="17.28515625" customWidth="1"/>
  </cols>
  <sheetData>
    <row r="1" spans="1:14" ht="26.25">
      <c r="A1" s="19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7.25">
      <c r="A2" s="56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6.5">
      <c r="A3" s="21" t="s">
        <v>457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16.5">
      <c r="A4" s="8"/>
      <c r="B4" s="8"/>
      <c r="C4" s="8"/>
      <c r="D4" s="479" t="s">
        <v>0</v>
      </c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8" thickBot="1">
      <c r="A5" s="5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" thickBot="1">
      <c r="A6" s="225" t="str">
        <f>+'S&amp;D'!A12</f>
        <v>Railroad Carriers</v>
      </c>
      <c r="B6" s="160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7.25">
      <c r="A7" s="56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8" thickBot="1">
      <c r="A8" s="56"/>
      <c r="B8" s="8"/>
      <c r="C8" s="24"/>
      <c r="D8" s="24"/>
      <c r="E8" s="24"/>
      <c r="F8" s="8"/>
      <c r="G8" s="8"/>
      <c r="H8" s="24"/>
      <c r="I8" s="24"/>
      <c r="J8" s="24"/>
      <c r="K8" s="24"/>
      <c r="L8" s="24"/>
      <c r="M8" s="24"/>
      <c r="N8" s="8"/>
    </row>
    <row r="9" spans="1:14" ht="26.25">
      <c r="B9" s="8"/>
      <c r="C9" s="8"/>
      <c r="D9" s="26" t="s">
        <v>280</v>
      </c>
      <c r="E9" s="8"/>
      <c r="F9" s="8"/>
      <c r="G9" s="8"/>
      <c r="H9" s="8"/>
      <c r="I9" s="8"/>
      <c r="J9" s="8"/>
      <c r="K9" s="62" t="s">
        <v>281</v>
      </c>
      <c r="L9" s="8"/>
      <c r="M9" s="8"/>
      <c r="N9" s="8"/>
    </row>
    <row r="10" spans="1:14" ht="21" thickBot="1">
      <c r="A10" s="25"/>
      <c r="B10" s="8"/>
      <c r="C10" s="24"/>
      <c r="D10" s="27" t="s">
        <v>470</v>
      </c>
      <c r="E10" s="24"/>
      <c r="F10" s="8"/>
      <c r="G10" s="8"/>
      <c r="H10" s="24"/>
      <c r="I10" s="24"/>
      <c r="J10" s="24"/>
      <c r="K10" s="27" t="s">
        <v>479</v>
      </c>
      <c r="L10" s="24"/>
      <c r="M10" s="24"/>
      <c r="N10" s="8"/>
    </row>
    <row r="11" spans="1:14" ht="17.25" thickBot="1">
      <c r="A11" s="28" t="s">
        <v>0</v>
      </c>
      <c r="B11" s="28" t="s">
        <v>0</v>
      </c>
      <c r="C11" s="28" t="s">
        <v>0</v>
      </c>
      <c r="D11" s="28" t="s">
        <v>0</v>
      </c>
      <c r="E11" s="28" t="s">
        <v>0</v>
      </c>
      <c r="F11" s="28" t="s">
        <v>0</v>
      </c>
      <c r="G11" s="35"/>
      <c r="H11" s="24"/>
      <c r="I11" s="28" t="s">
        <v>0</v>
      </c>
      <c r="J11" s="24"/>
      <c r="K11" s="24"/>
      <c r="L11" s="24"/>
      <c r="M11" s="24"/>
      <c r="N11" s="8"/>
    </row>
    <row r="12" spans="1:14" ht="16.5">
      <c r="A12" s="29" t="s">
        <v>0</v>
      </c>
      <c r="B12" s="29" t="s">
        <v>3</v>
      </c>
      <c r="C12" s="29" t="s">
        <v>321</v>
      </c>
      <c r="D12" s="29" t="s">
        <v>110</v>
      </c>
      <c r="E12" s="29" t="s">
        <v>110</v>
      </c>
      <c r="F12" s="29" t="s">
        <v>26</v>
      </c>
      <c r="G12" s="29"/>
      <c r="H12" s="29" t="s">
        <v>3</v>
      </c>
      <c r="I12" s="29" t="s">
        <v>321</v>
      </c>
      <c r="J12" s="29" t="s">
        <v>110</v>
      </c>
      <c r="K12" s="29"/>
      <c r="L12" s="29" t="s">
        <v>110</v>
      </c>
      <c r="M12" s="29" t="s">
        <v>26</v>
      </c>
      <c r="N12" s="8"/>
    </row>
    <row r="13" spans="1:14" ht="17.25" thickBot="1">
      <c r="A13" s="31" t="s">
        <v>2</v>
      </c>
      <c r="B13" s="31" t="s">
        <v>4</v>
      </c>
      <c r="C13" s="31" t="s">
        <v>27</v>
      </c>
      <c r="D13" s="31" t="s">
        <v>158</v>
      </c>
      <c r="E13" s="31" t="s">
        <v>28</v>
      </c>
      <c r="F13" s="31" t="s">
        <v>29</v>
      </c>
      <c r="G13" s="29"/>
      <c r="H13" s="31" t="s">
        <v>4</v>
      </c>
      <c r="I13" s="31" t="s">
        <v>27</v>
      </c>
      <c r="J13" s="31" t="s">
        <v>158</v>
      </c>
      <c r="K13" s="31"/>
      <c r="L13" s="31" t="s">
        <v>28</v>
      </c>
      <c r="M13" s="31" t="s">
        <v>29</v>
      </c>
      <c r="N13" s="8"/>
    </row>
    <row r="14" spans="1:14" ht="16.5">
      <c r="A14" s="33" t="s">
        <v>0</v>
      </c>
      <c r="B14" s="33" t="s">
        <v>0</v>
      </c>
      <c r="C14" s="34" t="s">
        <v>113</v>
      </c>
      <c r="D14" s="33" t="s">
        <v>114</v>
      </c>
      <c r="E14" s="33" t="s">
        <v>0</v>
      </c>
      <c r="F14" s="33" t="s">
        <v>0</v>
      </c>
      <c r="G14" s="35"/>
      <c r="H14" s="33" t="s">
        <v>0</v>
      </c>
      <c r="I14" s="34" t="s">
        <v>113</v>
      </c>
      <c r="J14" s="33" t="s">
        <v>115</v>
      </c>
      <c r="K14" s="33"/>
      <c r="L14" s="33" t="s">
        <v>0</v>
      </c>
      <c r="M14" s="33" t="s">
        <v>0</v>
      </c>
      <c r="N14" s="8"/>
    </row>
    <row r="15" spans="1:14" ht="16.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8"/>
    </row>
    <row r="16" spans="1:14" ht="16.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17.25">
      <c r="A17" s="56" t="str">
        <f>+'S&amp;D'!A22</f>
        <v>Canadian National</v>
      </c>
      <c r="B17" s="83" t="str">
        <f>+'S&amp;D'!B22</f>
        <v>CNI</v>
      </c>
      <c r="C17" s="53">
        <f>+'S&amp;D'!G22</f>
        <v>98.85</v>
      </c>
      <c r="D17" s="329">
        <v>8.5500000000000007</v>
      </c>
      <c r="E17" s="65">
        <f>C17/D17</f>
        <v>11.561403508771928</v>
      </c>
      <c r="F17" s="50">
        <f t="shared" ref="F17" si="0">1/E17</f>
        <v>8.649468892261003E-2</v>
      </c>
      <c r="G17" s="50"/>
      <c r="H17" s="83" t="str">
        <f>+B17</f>
        <v>CNI</v>
      </c>
      <c r="I17" s="53">
        <f>+C17</f>
        <v>98.85</v>
      </c>
      <c r="J17" s="329">
        <v>9.1999999999999993</v>
      </c>
      <c r="K17" s="55"/>
      <c r="L17" s="65">
        <f>I17/J17</f>
        <v>10.744565217391305</v>
      </c>
      <c r="M17" s="50">
        <f t="shared" ref="M17" si="1">1/L17</f>
        <v>9.3070308548305516E-2</v>
      </c>
      <c r="N17" s="8"/>
    </row>
    <row r="18" spans="1:14" ht="17.25">
      <c r="A18" s="56" t="str">
        <f>+'S&amp;D'!A23</f>
        <v>Canadian Pacific Kansas City Limited  CPKC</v>
      </c>
      <c r="B18" s="83" t="str">
        <f>+'S&amp;D'!B23</f>
        <v>CP</v>
      </c>
      <c r="C18" s="53">
        <f>+'S&amp;D'!G23</f>
        <v>73.63</v>
      </c>
      <c r="D18" s="329">
        <v>5.75</v>
      </c>
      <c r="E18" s="65">
        <f t="shared" ref="E18:E21" si="2">C18/D18</f>
        <v>12.805217391304348</v>
      </c>
      <c r="F18" s="50">
        <f t="shared" ref="F18:F21" si="3">1/E18</f>
        <v>7.8093168545429859E-2</v>
      </c>
      <c r="G18" s="50"/>
      <c r="H18" s="83" t="str">
        <f t="shared" ref="H18:H21" si="4">+B18</f>
        <v>CP</v>
      </c>
      <c r="I18" s="53">
        <f t="shared" ref="I18:I21" si="5">+C18</f>
        <v>73.63</v>
      </c>
      <c r="J18" s="329">
        <v>6.35</v>
      </c>
      <c r="K18" s="55"/>
      <c r="L18" s="65">
        <f t="shared" ref="L18:L21" si="6">I18/J18</f>
        <v>11.59527559055118</v>
      </c>
      <c r="M18" s="50">
        <f t="shared" ref="M18:M21" si="7">1/L18</f>
        <v>8.6242020915387754E-2</v>
      </c>
      <c r="N18" s="8"/>
    </row>
    <row r="19" spans="1:14" ht="17.25">
      <c r="A19" s="56" t="str">
        <f>+'S&amp;D'!A24</f>
        <v>CSX Corp</v>
      </c>
      <c r="B19" s="83" t="str">
        <f>+'S&amp;D'!B24</f>
        <v>CSX</v>
      </c>
      <c r="C19" s="53">
        <f>+'S&amp;D'!G24</f>
        <v>36.25</v>
      </c>
      <c r="D19" s="329">
        <v>2.85</v>
      </c>
      <c r="E19" s="65">
        <f t="shared" si="2"/>
        <v>12.719298245614034</v>
      </c>
      <c r="F19" s="50">
        <f t="shared" si="3"/>
        <v>7.8620689655172424E-2</v>
      </c>
      <c r="G19" s="50"/>
      <c r="H19" s="83" t="str">
        <f t="shared" si="4"/>
        <v>CSX</v>
      </c>
      <c r="I19" s="53">
        <f t="shared" si="5"/>
        <v>36.25</v>
      </c>
      <c r="J19" s="329">
        <v>3.2</v>
      </c>
      <c r="K19" s="55"/>
      <c r="L19" s="65">
        <f t="shared" si="6"/>
        <v>11.328125</v>
      </c>
      <c r="M19" s="50">
        <f t="shared" si="7"/>
        <v>8.827586206896551E-2</v>
      </c>
      <c r="N19" s="8"/>
    </row>
    <row r="20" spans="1:14" ht="17.25">
      <c r="A20" s="56" t="str">
        <f>+'S&amp;D'!A25</f>
        <v>Norfolk Southern</v>
      </c>
      <c r="B20" s="83" t="str">
        <f>+'S&amp;D'!B25</f>
        <v>NSC</v>
      </c>
      <c r="C20" s="53">
        <f>+'S&amp;D'!G25</f>
        <v>288.72000000000003</v>
      </c>
      <c r="D20" s="329">
        <v>18.7</v>
      </c>
      <c r="E20" s="65">
        <f t="shared" si="2"/>
        <v>15.439572192513371</v>
      </c>
      <c r="F20" s="50">
        <f t="shared" si="3"/>
        <v>6.4768633970628972E-2</v>
      </c>
      <c r="G20" s="50"/>
      <c r="H20" s="83" t="str">
        <f t="shared" si="4"/>
        <v>NSC</v>
      </c>
      <c r="I20" s="53">
        <f t="shared" si="5"/>
        <v>288.72000000000003</v>
      </c>
      <c r="J20" s="329">
        <v>20.100000000000001</v>
      </c>
      <c r="K20" s="55"/>
      <c r="L20" s="65">
        <f t="shared" si="6"/>
        <v>14.364179104477612</v>
      </c>
      <c r="M20" s="50">
        <f t="shared" si="7"/>
        <v>6.9617622610141316E-2</v>
      </c>
      <c r="N20" s="8"/>
    </row>
    <row r="21" spans="1:14" ht="17.25">
      <c r="A21" s="56" t="str">
        <f>+'S&amp;D'!A26</f>
        <v>Union Pacific Railroad</v>
      </c>
      <c r="B21" s="83" t="str">
        <f>+'S&amp;D'!B26</f>
        <v>UNP</v>
      </c>
      <c r="C21" s="53">
        <f>+'S&amp;D'!G26</f>
        <v>231.32</v>
      </c>
      <c r="D21" s="329">
        <v>16.64</v>
      </c>
      <c r="E21" s="65">
        <f t="shared" si="2"/>
        <v>13.901442307692307</v>
      </c>
      <c r="F21" s="50">
        <f t="shared" si="3"/>
        <v>7.1934981843333912E-2</v>
      </c>
      <c r="G21" s="50"/>
      <c r="H21" s="83" t="str">
        <f t="shared" si="4"/>
        <v>UNP</v>
      </c>
      <c r="I21" s="53">
        <f t="shared" si="5"/>
        <v>231.32</v>
      </c>
      <c r="J21" s="329">
        <v>17.95</v>
      </c>
      <c r="K21" s="55"/>
      <c r="L21" s="65">
        <f t="shared" si="6"/>
        <v>12.886908077994429</v>
      </c>
      <c r="M21" s="50">
        <f t="shared" si="7"/>
        <v>7.7598132457202151E-2</v>
      </c>
      <c r="N21" s="8"/>
    </row>
    <row r="22" spans="1:14" ht="17.25" thickBot="1">
      <c r="A22" s="8"/>
      <c r="B22" s="63"/>
      <c r="C22" s="63"/>
      <c r="D22" s="63"/>
      <c r="E22" s="63"/>
      <c r="F22" s="63"/>
      <c r="G22" s="8"/>
      <c r="H22" s="63"/>
      <c r="I22" s="63"/>
      <c r="J22" s="258" t="s">
        <v>0</v>
      </c>
      <c r="K22" s="63"/>
      <c r="L22" s="63"/>
      <c r="M22" s="63"/>
      <c r="N22" s="8"/>
    </row>
    <row r="23" spans="1:14" ht="17.25" thickTop="1">
      <c r="A23" s="8"/>
      <c r="C23" s="10" t="s">
        <v>46</v>
      </c>
      <c r="D23" s="64">
        <f>MAX(D17:D21)</f>
        <v>18.7</v>
      </c>
      <c r="E23" s="64">
        <f t="shared" ref="E23:F23" si="8">MAX(E17:E21)</f>
        <v>15.439572192513371</v>
      </c>
      <c r="F23" s="269">
        <f t="shared" si="8"/>
        <v>8.649468892261003E-2</v>
      </c>
      <c r="I23" s="10" t="s">
        <v>46</v>
      </c>
      <c r="J23" s="64">
        <f t="shared" ref="J23:M23" si="9">MAX(J17:J21)</f>
        <v>20.100000000000001</v>
      </c>
      <c r="K23" s="64"/>
      <c r="L23" s="64">
        <f t="shared" si="9"/>
        <v>14.364179104477612</v>
      </c>
      <c r="M23" s="269">
        <f t="shared" si="9"/>
        <v>9.3070308548305516E-2</v>
      </c>
      <c r="N23" s="8"/>
    </row>
    <row r="24" spans="1:14" ht="16.5">
      <c r="A24" s="8"/>
      <c r="C24" s="284" t="s">
        <v>47</v>
      </c>
      <c r="D24" s="288">
        <f>MIN(D17:D21)</f>
        <v>2.85</v>
      </c>
      <c r="E24" s="288">
        <f t="shared" ref="E24:F24" si="10">MIN(E17:E21)</f>
        <v>11.561403508771928</v>
      </c>
      <c r="F24" s="282">
        <f t="shared" si="10"/>
        <v>6.4768633970628972E-2</v>
      </c>
      <c r="I24" s="284" t="s">
        <v>47</v>
      </c>
      <c r="J24" s="288">
        <f t="shared" ref="J24:M24" si="11">MIN(J17:J21)</f>
        <v>3.2</v>
      </c>
      <c r="K24" s="288"/>
      <c r="L24" s="288">
        <f t="shared" si="11"/>
        <v>10.744565217391305</v>
      </c>
      <c r="M24" s="282">
        <f t="shared" si="11"/>
        <v>6.9617622610141316E-2</v>
      </c>
      <c r="N24" s="8"/>
    </row>
    <row r="25" spans="1:14" ht="16.5">
      <c r="A25" s="8"/>
      <c r="C25" s="10" t="s">
        <v>18</v>
      </c>
      <c r="D25" s="65">
        <f>MEDIAN(D17:D21)</f>
        <v>8.5500000000000007</v>
      </c>
      <c r="E25" s="17">
        <f>MEDIAN(E17:E21)</f>
        <v>12.805217391304348</v>
      </c>
      <c r="F25" s="50">
        <f>MEDIAN(F17:F21)</f>
        <v>7.8093168545429859E-2</v>
      </c>
      <c r="G25" s="50"/>
      <c r="I25" s="10" t="s">
        <v>18</v>
      </c>
      <c r="J25" s="65">
        <f>MEDIAN(J17:J21)</f>
        <v>9.1999999999999993</v>
      </c>
      <c r="K25" s="65"/>
      <c r="L25" s="17">
        <f>MEDIAN(L17:L21)</f>
        <v>11.59527559055118</v>
      </c>
      <c r="M25" s="50">
        <f>MEDIAN(M17:M21)</f>
        <v>8.6242020915387754E-2</v>
      </c>
      <c r="N25" s="8"/>
    </row>
    <row r="26" spans="1:14" ht="16.5">
      <c r="A26" s="8"/>
      <c r="C26" s="10" t="s">
        <v>375</v>
      </c>
      <c r="D26" s="13">
        <f>AVERAGE(D17:D21)</f>
        <v>10.498000000000001</v>
      </c>
      <c r="E26" s="17">
        <f>AVERAGE(E17:E21)</f>
        <v>13.285386729179198</v>
      </c>
      <c r="F26" s="66">
        <f>AVERAGE(F17:F21)</f>
        <v>7.5982432587435048E-2</v>
      </c>
      <c r="G26" s="66"/>
      <c r="I26" s="10" t="s">
        <v>375</v>
      </c>
      <c r="J26" s="13">
        <f>AVERAGE(J17:J21)</f>
        <v>11.36</v>
      </c>
      <c r="K26" s="13"/>
      <c r="L26" s="17">
        <f>AVERAGE(L17:L21)</f>
        <v>12.183810598082905</v>
      </c>
      <c r="M26" s="66">
        <f>AVERAGE(M17:M21)</f>
        <v>8.296078932000045E-2</v>
      </c>
      <c r="N26" s="8"/>
    </row>
    <row r="27" spans="1:14" ht="16.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26.25">
      <c r="A28" s="8"/>
      <c r="B28" s="8"/>
      <c r="C28" s="8"/>
      <c r="D28" s="70" t="s">
        <v>74</v>
      </c>
      <c r="E28" s="351">
        <v>13.29</v>
      </c>
      <c r="F28" s="270">
        <v>7.5999999999999998E-2</v>
      </c>
      <c r="G28" s="232"/>
      <c r="H28" s="8"/>
      <c r="I28" s="8"/>
      <c r="J28" s="70" t="s">
        <v>74</v>
      </c>
      <c r="K28" s="43">
        <v>0</v>
      </c>
      <c r="L28" s="271">
        <v>12.18</v>
      </c>
      <c r="M28" s="270">
        <v>8.3000000000000004E-2</v>
      </c>
      <c r="N28" s="8"/>
    </row>
    <row r="29" spans="1:14" ht="30" customHeight="1" thickBot="1">
      <c r="A29" s="8"/>
      <c r="B29" s="8"/>
      <c r="C29" s="8"/>
      <c r="D29" s="8"/>
      <c r="E29" s="8"/>
      <c r="G29" s="67"/>
      <c r="H29" s="8"/>
      <c r="I29" s="8"/>
      <c r="J29" s="8"/>
      <c r="K29" s="8"/>
      <c r="L29" s="8"/>
      <c r="M29" s="8"/>
      <c r="N29" s="8"/>
    </row>
    <row r="30" spans="1:14" ht="27" thickBot="1">
      <c r="A30" s="68" t="s">
        <v>0</v>
      </c>
      <c r="B30" s="8"/>
      <c r="C30" s="8"/>
      <c r="D30" s="8"/>
      <c r="E30" s="19" t="s">
        <v>119</v>
      </c>
      <c r="F30" s="19"/>
      <c r="G30" s="181">
        <f>(+E28+L28)/2</f>
        <v>12.734999999999999</v>
      </c>
      <c r="H30" s="182">
        <f>(+F28+M28)/2</f>
        <v>7.9500000000000001E-2</v>
      </c>
      <c r="K30" s="8"/>
      <c r="N30" s="8"/>
    </row>
    <row r="31" spans="1:14" ht="16.5">
      <c r="A31" s="68" t="s">
        <v>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6.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6.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7.25">
      <c r="A34" s="98" t="s">
        <v>327</v>
      </c>
    </row>
    <row r="35" spans="1:14" ht="17.25">
      <c r="A35" s="98" t="s">
        <v>328</v>
      </c>
    </row>
    <row r="36" spans="1:14" ht="17.25">
      <c r="A36" s="98" t="s">
        <v>329</v>
      </c>
    </row>
  </sheetData>
  <pageMargins left="0.25" right="0.25" top="0.75" bottom="0.75" header="0.3" footer="0.3"/>
  <pageSetup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AAB1-5671-4283-A0D0-11DDA5DBBF04}">
  <sheetPr>
    <tabColor rgb="FF92D050"/>
  </sheetPr>
  <dimension ref="A1:O55"/>
  <sheetViews>
    <sheetView view="pageBreakPreview" zoomScale="60" zoomScaleNormal="80" workbookViewId="0">
      <selection activeCell="E4" sqref="E4"/>
    </sheetView>
  </sheetViews>
  <sheetFormatPr defaultRowHeight="15"/>
  <cols>
    <col min="1" max="1" width="53.85546875" customWidth="1"/>
    <col min="2" max="2" width="8" customWidth="1"/>
    <col min="3" max="3" width="12.28515625" bestFit="1" customWidth="1"/>
    <col min="4" max="4" width="20.140625" customWidth="1"/>
    <col min="5" max="5" width="18.85546875" customWidth="1"/>
    <col min="6" max="6" width="19" customWidth="1"/>
    <col min="7" max="7" width="16.42578125" customWidth="1"/>
    <col min="8" max="10" width="19.28515625" customWidth="1"/>
    <col min="11" max="12" width="21.5703125" customWidth="1"/>
    <col min="13" max="13" width="18.28515625" customWidth="1"/>
  </cols>
  <sheetData>
    <row r="1" spans="1:15" ht="26.25">
      <c r="A1" s="19" t="s">
        <v>1</v>
      </c>
      <c r="B1" s="19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7.25">
      <c r="A2" s="56" t="s">
        <v>9</v>
      </c>
      <c r="B2" s="5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6.5">
      <c r="A3" s="21" t="s">
        <v>457</v>
      </c>
      <c r="B3" s="3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6.5">
      <c r="A4" s="8"/>
      <c r="B4" s="8"/>
      <c r="C4" s="8"/>
      <c r="D4" s="8"/>
      <c r="E4" s="479" t="s">
        <v>0</v>
      </c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8" thickBot="1">
      <c r="A5" s="56"/>
      <c r="B5" s="5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21" thickBot="1">
      <c r="A6" s="223" t="str">
        <f>+'S&amp;D'!A12</f>
        <v>Railroad Carriers</v>
      </c>
      <c r="B6" s="22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18" thickBot="1">
      <c r="A7" s="56"/>
      <c r="B7" s="56"/>
      <c r="C7" s="24"/>
      <c r="D7" s="24"/>
      <c r="E7" s="24"/>
      <c r="F7" s="24"/>
      <c r="G7" s="24"/>
      <c r="H7" s="8"/>
      <c r="I7" s="24"/>
      <c r="J7" s="24"/>
      <c r="K7" s="24"/>
      <c r="L7" s="24"/>
      <c r="M7" s="24"/>
      <c r="N7" s="8"/>
      <c r="O7" s="8"/>
    </row>
    <row r="8" spans="1:15" ht="26.25">
      <c r="B8" s="25"/>
      <c r="C8" s="8"/>
      <c r="D8" s="8"/>
      <c r="E8" s="26" t="s">
        <v>222</v>
      </c>
      <c r="F8" s="8"/>
      <c r="G8" s="8"/>
      <c r="H8" s="8"/>
      <c r="I8" s="8"/>
      <c r="J8" s="8"/>
      <c r="K8" s="26" t="s">
        <v>223</v>
      </c>
      <c r="L8" s="8"/>
      <c r="M8" s="8"/>
      <c r="N8" s="8"/>
      <c r="O8" s="8"/>
    </row>
    <row r="9" spans="1:15" ht="21" thickBot="1">
      <c r="A9" s="25"/>
      <c r="B9" s="25"/>
      <c r="C9" s="24"/>
      <c r="D9" s="24"/>
      <c r="E9" s="31" t="s">
        <v>470</v>
      </c>
      <c r="F9" s="24"/>
      <c r="G9" s="24"/>
      <c r="H9" s="8"/>
      <c r="I9" s="24"/>
      <c r="J9" s="24"/>
      <c r="K9" s="31" t="s">
        <v>470</v>
      </c>
      <c r="L9" s="24"/>
      <c r="M9" s="24"/>
      <c r="N9" s="8"/>
      <c r="O9" s="8"/>
    </row>
    <row r="10" spans="1:15" ht="17.25" thickBot="1">
      <c r="A10" s="28" t="s">
        <v>0</v>
      </c>
      <c r="B10" s="28"/>
      <c r="C10" s="28" t="s">
        <v>0</v>
      </c>
      <c r="D10" s="28" t="s">
        <v>0</v>
      </c>
      <c r="E10" s="28" t="s">
        <v>0</v>
      </c>
      <c r="F10" s="28" t="s">
        <v>0</v>
      </c>
      <c r="G10" s="28" t="s">
        <v>0</v>
      </c>
      <c r="H10" s="8"/>
      <c r="I10" s="24"/>
      <c r="J10" s="24"/>
      <c r="K10" s="24"/>
      <c r="L10" s="24"/>
      <c r="M10" s="24"/>
      <c r="N10" s="8"/>
      <c r="O10" s="8"/>
    </row>
    <row r="11" spans="1:15" ht="16.5">
      <c r="A11" s="29" t="s">
        <v>0</v>
      </c>
      <c r="B11" s="29"/>
      <c r="C11" s="29" t="s">
        <v>3</v>
      </c>
      <c r="D11" s="29" t="s">
        <v>321</v>
      </c>
      <c r="E11" s="29" t="s">
        <v>323</v>
      </c>
      <c r="F11" s="29" t="s">
        <v>111</v>
      </c>
      <c r="G11" s="29" t="s">
        <v>26</v>
      </c>
      <c r="H11" s="8"/>
      <c r="I11" s="29" t="s">
        <v>3</v>
      </c>
      <c r="J11" s="29" t="s">
        <v>321</v>
      </c>
      <c r="K11" s="29" t="s">
        <v>323</v>
      </c>
      <c r="L11" s="29" t="s">
        <v>111</v>
      </c>
      <c r="M11" s="29" t="s">
        <v>26</v>
      </c>
      <c r="N11" s="8"/>
      <c r="O11" s="8"/>
    </row>
    <row r="12" spans="1:15" ht="17.25" thickBot="1">
      <c r="A12" s="31" t="s">
        <v>2</v>
      </c>
      <c r="B12" s="31"/>
      <c r="C12" s="31" t="s">
        <v>4</v>
      </c>
      <c r="D12" s="31" t="s">
        <v>27</v>
      </c>
      <c r="E12" s="31" t="s">
        <v>158</v>
      </c>
      <c r="F12" s="31" t="s">
        <v>28</v>
      </c>
      <c r="G12" s="31" t="s">
        <v>29</v>
      </c>
      <c r="H12" s="8"/>
      <c r="I12" s="31" t="s">
        <v>4</v>
      </c>
      <c r="J12" s="31" t="s">
        <v>27</v>
      </c>
      <c r="K12" s="31" t="s">
        <v>158</v>
      </c>
      <c r="L12" s="31" t="s">
        <v>28</v>
      </c>
      <c r="M12" s="31" t="s">
        <v>29</v>
      </c>
      <c r="N12" s="8"/>
      <c r="O12" s="8"/>
    </row>
    <row r="13" spans="1:15" ht="16.5">
      <c r="A13" s="33" t="s">
        <v>0</v>
      </c>
      <c r="B13" s="33"/>
      <c r="C13" s="33" t="s">
        <v>0</v>
      </c>
      <c r="D13" s="34" t="s">
        <v>113</v>
      </c>
      <c r="E13" s="69" t="s">
        <v>114</v>
      </c>
      <c r="F13" s="33" t="s">
        <v>0</v>
      </c>
      <c r="G13" s="33" t="s">
        <v>0</v>
      </c>
      <c r="H13" s="8"/>
      <c r="I13" s="33" t="s">
        <v>0</v>
      </c>
      <c r="J13" s="34" t="s">
        <v>113</v>
      </c>
      <c r="K13" s="69" t="s">
        <v>112</v>
      </c>
      <c r="L13" s="33" t="s">
        <v>0</v>
      </c>
      <c r="M13" s="33" t="s">
        <v>0</v>
      </c>
      <c r="N13" s="8"/>
      <c r="O13" s="8"/>
    </row>
    <row r="14" spans="1:15" ht="16.5">
      <c r="A14" s="29"/>
      <c r="B14" s="29"/>
      <c r="C14" s="29"/>
      <c r="D14" s="29"/>
      <c r="E14" s="29"/>
      <c r="F14" s="29"/>
      <c r="G14" s="29"/>
      <c r="H14" s="8"/>
      <c r="I14" s="29"/>
      <c r="J14" s="29"/>
      <c r="K14" s="29"/>
      <c r="L14" s="29"/>
      <c r="M14" s="29"/>
      <c r="N14" s="8"/>
      <c r="O14" s="8"/>
    </row>
    <row r="15" spans="1:15" ht="16.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7.25">
      <c r="A16" s="56" t="str">
        <f>+'S&amp;D'!A22</f>
        <v>Canadian National</v>
      </c>
      <c r="B16" s="56"/>
      <c r="C16" s="83" t="str">
        <f>+'S&amp;D'!B22</f>
        <v>CNI</v>
      </c>
      <c r="D16" s="53">
        <f>'S&amp;D'!G22</f>
        <v>98.85</v>
      </c>
      <c r="E16" s="329">
        <f>+Earnings!E16</f>
        <v>6</v>
      </c>
      <c r="F16" s="65">
        <f>D16/E16</f>
        <v>16.474999999999998</v>
      </c>
      <c r="G16" s="50">
        <f t="shared" ref="G16" si="0">1/F16</f>
        <v>6.06980273141123E-2</v>
      </c>
      <c r="H16" s="8"/>
      <c r="I16" s="29" t="str">
        <f>+C16</f>
        <v>CNI</v>
      </c>
      <c r="J16" s="53">
        <f>+D16</f>
        <v>98.85</v>
      </c>
      <c r="K16" s="329">
        <f>+Earnings!G16</f>
        <v>6.5</v>
      </c>
      <c r="L16" s="65">
        <f>J16/K16</f>
        <v>15.207692307692307</v>
      </c>
      <c r="M16" s="50">
        <f t="shared" ref="M16" si="1">1/L16</f>
        <v>6.5756196256954988E-2</v>
      </c>
      <c r="N16" s="8"/>
      <c r="O16" s="8"/>
    </row>
    <row r="17" spans="1:15" ht="17.25">
      <c r="A17" s="56" t="str">
        <f>+'S&amp;D'!A23</f>
        <v>Canadian Pacific Kansas City Limited  CPKC</v>
      </c>
      <c r="B17" s="56"/>
      <c r="C17" s="83" t="str">
        <f>+'S&amp;D'!B23</f>
        <v>CP</v>
      </c>
      <c r="D17" s="53">
        <f>'S&amp;D'!G23</f>
        <v>73.63</v>
      </c>
      <c r="E17" s="329">
        <f>+Earnings!E17</f>
        <v>3.9</v>
      </c>
      <c r="F17" s="65">
        <f t="shared" ref="F17:F20" si="2">D17/E17</f>
        <v>18.879487179487178</v>
      </c>
      <c r="G17" s="50">
        <f t="shared" ref="G17:G20" si="3">1/F17</f>
        <v>5.2967540404726336E-2</v>
      </c>
      <c r="H17" s="8"/>
      <c r="I17" s="29" t="str">
        <f t="shared" ref="I17:I20" si="4">+C17</f>
        <v>CP</v>
      </c>
      <c r="J17" s="53">
        <f t="shared" ref="J17:J20" si="5">+D17</f>
        <v>73.63</v>
      </c>
      <c r="K17" s="329">
        <f>+Earnings!G17</f>
        <v>4.4000000000000004</v>
      </c>
      <c r="L17" s="65">
        <f t="shared" ref="L17:L20" si="6">J17/K17</f>
        <v>16.734090909090906</v>
      </c>
      <c r="M17" s="50">
        <f t="shared" ref="M17:M20" si="7">1/L17</f>
        <v>5.9758250713024597E-2</v>
      </c>
      <c r="N17" s="8"/>
      <c r="O17" s="8"/>
    </row>
    <row r="18" spans="1:15" ht="17.25">
      <c r="A18" s="56" t="str">
        <f>+'S&amp;D'!A24</f>
        <v>CSX Corp</v>
      </c>
      <c r="B18" s="56"/>
      <c r="C18" s="83" t="str">
        <f>+'S&amp;D'!B24</f>
        <v>CSX</v>
      </c>
      <c r="D18" s="53">
        <f>'S&amp;D'!G24</f>
        <v>36.25</v>
      </c>
      <c r="E18" s="329">
        <f>+Earnings!E18</f>
        <v>1.85</v>
      </c>
      <c r="F18" s="65">
        <f t="shared" si="2"/>
        <v>19.594594594594593</v>
      </c>
      <c r="G18" s="50">
        <f t="shared" si="3"/>
        <v>5.1034482758620693E-2</v>
      </c>
      <c r="H18" s="8"/>
      <c r="I18" s="29" t="str">
        <f t="shared" si="4"/>
        <v>CSX</v>
      </c>
      <c r="J18" s="53">
        <f t="shared" si="5"/>
        <v>36.25</v>
      </c>
      <c r="K18" s="329">
        <f>+Earnings!G18</f>
        <v>2.1</v>
      </c>
      <c r="L18" s="65">
        <f t="shared" si="6"/>
        <v>17.261904761904763</v>
      </c>
      <c r="M18" s="50">
        <f t="shared" si="7"/>
        <v>5.7931034482758617E-2</v>
      </c>
      <c r="N18" s="8"/>
      <c r="O18" s="8"/>
    </row>
    <row r="19" spans="1:15" ht="17.25">
      <c r="A19" s="56" t="str">
        <f>+'S&amp;D'!A25</f>
        <v>Norfolk Southern</v>
      </c>
      <c r="B19" s="56"/>
      <c r="C19" s="83" t="str">
        <f>+'S&amp;D'!B25</f>
        <v>NSC</v>
      </c>
      <c r="D19" s="53">
        <f>'S&amp;D'!G25</f>
        <v>288.72000000000003</v>
      </c>
      <c r="E19" s="329">
        <f>+Earnings!E19</f>
        <v>12.4</v>
      </c>
      <c r="F19" s="65">
        <f t="shared" si="2"/>
        <v>23.283870967741937</v>
      </c>
      <c r="G19" s="50">
        <f t="shared" si="3"/>
        <v>4.2948185092823492E-2</v>
      </c>
      <c r="H19" s="8"/>
      <c r="I19" s="29" t="str">
        <f t="shared" si="4"/>
        <v>NSC</v>
      </c>
      <c r="J19" s="53">
        <f t="shared" si="5"/>
        <v>288.72000000000003</v>
      </c>
      <c r="K19" s="329">
        <f>+Earnings!G19</f>
        <v>13.7</v>
      </c>
      <c r="L19" s="65">
        <f t="shared" si="6"/>
        <v>21.074452554744528</v>
      </c>
      <c r="M19" s="50">
        <f t="shared" si="7"/>
        <v>4.7450817400942084E-2</v>
      </c>
      <c r="N19" s="8"/>
      <c r="O19" s="8"/>
    </row>
    <row r="20" spans="1:15" ht="17.25">
      <c r="A20" s="56" t="str">
        <f>+'S&amp;D'!A26</f>
        <v>Union Pacific Railroad</v>
      </c>
      <c r="B20" s="56"/>
      <c r="C20" s="83" t="str">
        <f>+'S&amp;D'!B26</f>
        <v>UNP</v>
      </c>
      <c r="D20" s="53">
        <f>'S&amp;D'!G26</f>
        <v>231.32</v>
      </c>
      <c r="E20" s="329">
        <f>+Earnings!E20</f>
        <v>12.4</v>
      </c>
      <c r="F20" s="65">
        <f t="shared" si="2"/>
        <v>18.654838709677417</v>
      </c>
      <c r="G20" s="50">
        <f t="shared" si="3"/>
        <v>5.3605395123638259E-2</v>
      </c>
      <c r="H20" s="8"/>
      <c r="I20" s="29" t="str">
        <f t="shared" si="4"/>
        <v>UNP</v>
      </c>
      <c r="J20" s="53">
        <f t="shared" si="5"/>
        <v>231.32</v>
      </c>
      <c r="K20" s="329">
        <f>+Earnings!G20</f>
        <v>13.6</v>
      </c>
      <c r="L20" s="65">
        <f t="shared" si="6"/>
        <v>17.008823529411764</v>
      </c>
      <c r="M20" s="50">
        <f t="shared" si="7"/>
        <v>5.8793014006570984E-2</v>
      </c>
      <c r="N20" s="8"/>
      <c r="O20" s="8"/>
    </row>
    <row r="21" spans="1:15" ht="18" thickBot="1">
      <c r="A21" s="8"/>
      <c r="B21" s="8"/>
      <c r="C21" s="63"/>
      <c r="D21" s="63"/>
      <c r="E21" s="63"/>
      <c r="F21" s="63"/>
      <c r="G21" s="63"/>
      <c r="H21" s="8"/>
      <c r="I21" s="63"/>
      <c r="J21" s="58" t="s">
        <v>0</v>
      </c>
      <c r="K21" s="63"/>
      <c r="L21" s="63"/>
      <c r="M21" s="63"/>
      <c r="N21" s="8"/>
      <c r="O21" s="8"/>
    </row>
    <row r="22" spans="1:15" ht="17.25" thickTop="1">
      <c r="A22" s="8"/>
      <c r="B22" s="8"/>
      <c r="D22" s="10" t="s">
        <v>46</v>
      </c>
      <c r="E22" s="64">
        <f>MAX(E16:E20)</f>
        <v>12.4</v>
      </c>
      <c r="F22" s="64">
        <f t="shared" ref="F22:G22" si="8">MAX(F16:F20)</f>
        <v>23.283870967741937</v>
      </c>
      <c r="G22" s="269">
        <f t="shared" si="8"/>
        <v>6.06980273141123E-2</v>
      </c>
      <c r="H22" s="8"/>
      <c r="J22" s="10" t="s">
        <v>46</v>
      </c>
      <c r="K22" s="64">
        <f t="shared" ref="K22:M22" si="9">MAX(K16:K20)</f>
        <v>13.7</v>
      </c>
      <c r="L22" s="64">
        <f t="shared" si="9"/>
        <v>21.074452554744528</v>
      </c>
      <c r="M22" s="269">
        <f t="shared" si="9"/>
        <v>6.5756196256954988E-2</v>
      </c>
      <c r="N22" s="8"/>
      <c r="O22" s="8"/>
    </row>
    <row r="23" spans="1:15" ht="16.5">
      <c r="A23" s="8"/>
      <c r="B23" s="8"/>
      <c r="D23" s="284" t="s">
        <v>47</v>
      </c>
      <c r="E23" s="288">
        <f>MIN(E16:E20)</f>
        <v>1.85</v>
      </c>
      <c r="F23" s="288">
        <f t="shared" ref="F23:G23" si="10">MIN(F16:F20)</f>
        <v>16.474999999999998</v>
      </c>
      <c r="G23" s="282">
        <f t="shared" si="10"/>
        <v>4.2948185092823492E-2</v>
      </c>
      <c r="H23" s="8"/>
      <c r="J23" s="284" t="s">
        <v>47</v>
      </c>
      <c r="K23" s="288">
        <f t="shared" ref="K23:M23" si="11">MIN(K16:K20)</f>
        <v>2.1</v>
      </c>
      <c r="L23" s="288">
        <f t="shared" si="11"/>
        <v>15.207692307692307</v>
      </c>
      <c r="M23" s="282">
        <f t="shared" si="11"/>
        <v>4.7450817400942084E-2</v>
      </c>
      <c r="N23" s="8"/>
      <c r="O23" s="8"/>
    </row>
    <row r="24" spans="1:15" ht="16.5">
      <c r="A24" s="8"/>
      <c r="B24" s="8"/>
      <c r="D24" s="10" t="s">
        <v>18</v>
      </c>
      <c r="E24" s="65">
        <f>MEDIAN(E16:E20)</f>
        <v>6</v>
      </c>
      <c r="F24" s="17">
        <f>MEDIAN(F16:F20)</f>
        <v>18.879487179487178</v>
      </c>
      <c r="G24" s="50">
        <f>MEDIAN(G16:G20)</f>
        <v>5.2967540404726336E-2</v>
      </c>
      <c r="H24" s="8"/>
      <c r="J24" s="10" t="s">
        <v>18</v>
      </c>
      <c r="K24" s="65">
        <f>MEDIAN(K16:K20)</f>
        <v>6.5</v>
      </c>
      <c r="L24" s="17">
        <f>MEDIAN(L16:L20)</f>
        <v>17.008823529411764</v>
      </c>
      <c r="M24" s="50">
        <f>MEDIAN(M16:M20)</f>
        <v>5.8793014006570984E-2</v>
      </c>
      <c r="N24" s="8"/>
      <c r="O24" s="8"/>
    </row>
    <row r="25" spans="1:15" ht="16.5">
      <c r="A25" s="8"/>
      <c r="B25" s="8"/>
      <c r="D25" s="10" t="s">
        <v>375</v>
      </c>
      <c r="E25" s="13">
        <f>AVERAGE(E16:E20)</f>
        <v>7.31</v>
      </c>
      <c r="F25" s="17">
        <f>AVERAGE(F16:F20)</f>
        <v>19.377558290300225</v>
      </c>
      <c r="G25" s="66">
        <f>AVERAGE(G16:G20)</f>
        <v>5.2250726138784218E-2</v>
      </c>
      <c r="H25" s="8"/>
      <c r="J25" s="10" t="s">
        <v>375</v>
      </c>
      <c r="K25" s="13">
        <f>AVERAGE(K16:K20)</f>
        <v>8.0599999999999987</v>
      </c>
      <c r="L25" s="17">
        <f>AVERAGE(L16:L20)</f>
        <v>17.457392812568855</v>
      </c>
      <c r="M25" s="66">
        <f>AVERAGE(M16:M20)</f>
        <v>5.7937862572050261E-2</v>
      </c>
      <c r="N25" s="8"/>
      <c r="O25" s="8"/>
    </row>
    <row r="26" spans="1:15" ht="16.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ht="26.25">
      <c r="A27" s="8"/>
      <c r="B27" s="8"/>
      <c r="C27" s="8"/>
      <c r="D27" s="8"/>
      <c r="E27" s="70" t="s">
        <v>74</v>
      </c>
      <c r="F27" s="272">
        <v>19.38</v>
      </c>
      <c r="G27" s="270">
        <v>5.2299999999999999E-2</v>
      </c>
      <c r="H27" s="8"/>
      <c r="I27" s="8"/>
      <c r="J27" s="8"/>
      <c r="K27" s="70" t="s">
        <v>74</v>
      </c>
      <c r="L27" s="272">
        <v>17.46</v>
      </c>
      <c r="M27" s="270">
        <v>5.79E-2</v>
      </c>
      <c r="N27" s="8"/>
      <c r="O27" s="8"/>
    </row>
    <row r="28" spans="1:15" ht="16.5">
      <c r="A28" s="8"/>
      <c r="B28" s="8"/>
      <c r="C28" s="8"/>
      <c r="D28" s="8"/>
      <c r="E28" s="8"/>
      <c r="F28" s="8"/>
      <c r="K28" s="8"/>
      <c r="L28" s="8"/>
      <c r="M28" s="8"/>
      <c r="N28" s="8"/>
      <c r="O28" s="8"/>
    </row>
    <row r="29" spans="1:15" ht="30" customHeight="1">
      <c r="A29" s="8"/>
      <c r="B29" s="8"/>
      <c r="C29" s="8"/>
      <c r="D29" s="8"/>
      <c r="E29" s="8"/>
      <c r="F29" s="8"/>
      <c r="K29" s="8"/>
      <c r="L29" s="8"/>
      <c r="M29" s="8"/>
      <c r="N29" s="8"/>
      <c r="O29" s="8"/>
    </row>
    <row r="30" spans="1:15" ht="17.25" thickBot="1">
      <c r="A30" s="8"/>
      <c r="B30" s="8"/>
      <c r="C30" s="8"/>
      <c r="D30" s="8"/>
      <c r="E30" s="8"/>
      <c r="F30" s="8"/>
      <c r="K30" s="8"/>
      <c r="L30" s="8"/>
      <c r="M30" s="8"/>
      <c r="N30" s="8"/>
      <c r="O30" s="8"/>
    </row>
    <row r="31" spans="1:15" ht="30.75" customHeight="1" thickBot="1">
      <c r="A31" s="68" t="s">
        <v>0</v>
      </c>
      <c r="B31" s="68"/>
      <c r="C31" s="8"/>
      <c r="D31" s="8"/>
      <c r="E31" s="8"/>
      <c r="G31" s="19" t="s">
        <v>119</v>
      </c>
      <c r="H31" s="8"/>
      <c r="I31" s="183">
        <f>(+F27+L27)/2</f>
        <v>18.420000000000002</v>
      </c>
      <c r="J31" s="184">
        <f>(+G27+M27)/2</f>
        <v>5.5099999999999996E-2</v>
      </c>
      <c r="N31" s="8"/>
      <c r="O31" s="8"/>
    </row>
    <row r="32" spans="1:15" ht="16.5">
      <c r="A32" s="68" t="s">
        <v>0</v>
      </c>
      <c r="B32" s="6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ht="16.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16.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.75" thickBot="1">
      <c r="B35" s="129"/>
      <c r="C35" s="129"/>
      <c r="D35" s="129"/>
      <c r="E35" s="129"/>
      <c r="F35" s="129"/>
      <c r="G35" s="129"/>
    </row>
    <row r="36" spans="1:15" ht="26.25">
      <c r="C36" s="8"/>
      <c r="D36" s="8"/>
      <c r="E36" s="26" t="s">
        <v>405</v>
      </c>
      <c r="F36" s="8"/>
      <c r="G36" s="8"/>
    </row>
    <row r="37" spans="1:15" ht="21" thickBot="1">
      <c r="A37" s="25"/>
      <c r="B37" s="129"/>
      <c r="C37" s="24"/>
      <c r="D37" s="24"/>
      <c r="E37" s="31" t="s">
        <v>470</v>
      </c>
      <c r="F37" s="24"/>
      <c r="G37" s="24"/>
    </row>
    <row r="38" spans="1:15" ht="15.75" thickBot="1">
      <c r="A38" s="28" t="s">
        <v>0</v>
      </c>
      <c r="B38" s="129"/>
      <c r="C38" s="28" t="s">
        <v>0</v>
      </c>
      <c r="D38" s="28" t="s">
        <v>0</v>
      </c>
      <c r="E38" s="28" t="s">
        <v>0</v>
      </c>
      <c r="F38" s="28" t="s">
        <v>0</v>
      </c>
      <c r="G38" s="28" t="s">
        <v>0</v>
      </c>
    </row>
    <row r="39" spans="1:15" ht="16.5">
      <c r="A39" s="29" t="s">
        <v>0</v>
      </c>
      <c r="C39" s="29" t="s">
        <v>3</v>
      </c>
      <c r="D39" s="29" t="s">
        <v>321</v>
      </c>
      <c r="E39" s="29" t="s">
        <v>323</v>
      </c>
      <c r="F39" s="29" t="s">
        <v>111</v>
      </c>
      <c r="G39" s="29" t="s">
        <v>26</v>
      </c>
    </row>
    <row r="40" spans="1:15" ht="17.25" thickBot="1">
      <c r="A40" s="31" t="s">
        <v>2</v>
      </c>
      <c r="B40" s="129"/>
      <c r="C40" s="31" t="s">
        <v>4</v>
      </c>
      <c r="D40" s="31" t="s">
        <v>27</v>
      </c>
      <c r="E40" s="31" t="s">
        <v>158</v>
      </c>
      <c r="F40" s="31" t="s">
        <v>28</v>
      </c>
      <c r="G40" s="31" t="s">
        <v>29</v>
      </c>
    </row>
    <row r="41" spans="1:15">
      <c r="A41" s="33" t="s">
        <v>0</v>
      </c>
      <c r="C41" s="33" t="s">
        <v>0</v>
      </c>
      <c r="D41" s="34" t="s">
        <v>113</v>
      </c>
      <c r="E41" s="69" t="s">
        <v>228</v>
      </c>
      <c r="F41" s="33" t="s">
        <v>0</v>
      </c>
      <c r="G41" s="33" t="s">
        <v>0</v>
      </c>
    </row>
    <row r="42" spans="1:15" ht="16.5">
      <c r="A42" s="29"/>
      <c r="C42" s="29"/>
      <c r="D42" s="29"/>
      <c r="E42" s="29"/>
      <c r="F42" s="29"/>
      <c r="G42" s="29"/>
    </row>
    <row r="43" spans="1:15" ht="16.5">
      <c r="A43" s="8"/>
      <c r="C43" s="8"/>
      <c r="D43" s="8"/>
      <c r="E43" s="8"/>
      <c r="F43" s="8"/>
      <c r="G43" s="8"/>
    </row>
    <row r="44" spans="1:15" ht="17.25">
      <c r="A44" s="56" t="str">
        <f>+'S&amp;D'!A22</f>
        <v>Canadian National</v>
      </c>
      <c r="C44" s="83" t="str">
        <f>+'S&amp;D'!B22</f>
        <v>CNI</v>
      </c>
      <c r="D44" s="53">
        <f>'S&amp;D'!G22</f>
        <v>98.85</v>
      </c>
      <c r="E44" s="329">
        <f>+Earnings!I16</f>
        <v>8.5</v>
      </c>
      <c r="F44" s="65">
        <f t="shared" ref="F44:F48" si="12">D44/E44</f>
        <v>11.629411764705882</v>
      </c>
      <c r="G44" s="50">
        <f t="shared" ref="G44:G48" si="13">1/F44</f>
        <v>8.5988872028325752E-2</v>
      </c>
    </row>
    <row r="45" spans="1:15" ht="17.25">
      <c r="A45" s="56" t="str">
        <f>+'S&amp;D'!A23</f>
        <v>Canadian Pacific Kansas City Limited  CPKC</v>
      </c>
      <c r="C45" s="83" t="str">
        <f>+'S&amp;D'!B23</f>
        <v>CP</v>
      </c>
      <c r="D45" s="53">
        <f>'S&amp;D'!G23</f>
        <v>73.63</v>
      </c>
      <c r="E45" s="329">
        <f>+Earnings!I17</f>
        <v>5.6</v>
      </c>
      <c r="F45" s="65">
        <f t="shared" si="12"/>
        <v>13.148214285714285</v>
      </c>
      <c r="G45" s="50">
        <f t="shared" si="13"/>
        <v>7.6055955452940374E-2</v>
      </c>
    </row>
    <row r="46" spans="1:15" ht="17.25">
      <c r="A46" s="56" t="str">
        <f>+'S&amp;D'!A24</f>
        <v>CSX Corp</v>
      </c>
      <c r="C46" s="83" t="str">
        <f>+'S&amp;D'!B24</f>
        <v>CSX</v>
      </c>
      <c r="D46" s="53">
        <f>'S&amp;D'!G24</f>
        <v>36.25</v>
      </c>
      <c r="E46" s="329">
        <f>+Earnings!I18</f>
        <v>2.75</v>
      </c>
      <c r="F46" s="65">
        <f t="shared" si="12"/>
        <v>13.181818181818182</v>
      </c>
      <c r="G46" s="50">
        <f t="shared" si="13"/>
        <v>7.586206896551724E-2</v>
      </c>
    </row>
    <row r="47" spans="1:15" ht="17.25">
      <c r="A47" s="56" t="str">
        <f>+'S&amp;D'!A25</f>
        <v>Norfolk Southern</v>
      </c>
      <c r="C47" s="83" t="str">
        <f>+'S&amp;D'!B25</f>
        <v>NSC</v>
      </c>
      <c r="D47" s="53">
        <f>'S&amp;D'!G25</f>
        <v>288.72000000000003</v>
      </c>
      <c r="E47" s="329">
        <f>+Earnings!I19</f>
        <v>18</v>
      </c>
      <c r="F47" s="65">
        <f t="shared" si="12"/>
        <v>16.040000000000003</v>
      </c>
      <c r="G47" s="50">
        <f t="shared" si="13"/>
        <v>6.2344139650872807E-2</v>
      </c>
    </row>
    <row r="48" spans="1:15" ht="17.25">
      <c r="A48" s="56" t="str">
        <f>+'S&amp;D'!A26</f>
        <v>Union Pacific Railroad</v>
      </c>
      <c r="C48" s="83" t="str">
        <f>+'S&amp;D'!B26</f>
        <v>UNP</v>
      </c>
      <c r="D48" s="53">
        <f>'S&amp;D'!G26</f>
        <v>231.32</v>
      </c>
      <c r="E48" s="329">
        <f>+Earnings!I20</f>
        <v>17</v>
      </c>
      <c r="F48" s="65">
        <f t="shared" si="12"/>
        <v>13.607058823529412</v>
      </c>
      <c r="G48" s="50">
        <f t="shared" si="13"/>
        <v>7.3491267508213734E-2</v>
      </c>
    </row>
    <row r="49" spans="1:7" ht="17.25" thickBot="1">
      <c r="A49" s="8"/>
      <c r="D49" s="63"/>
      <c r="E49" s="63"/>
      <c r="F49" s="63"/>
      <c r="G49" s="63"/>
    </row>
    <row r="50" spans="1:7" ht="17.25" thickTop="1">
      <c r="A50" s="8"/>
      <c r="D50" s="10" t="s">
        <v>46</v>
      </c>
      <c r="E50" s="64">
        <f t="shared" ref="E50:G50" si="14">MAX(E44:E48)</f>
        <v>18</v>
      </c>
      <c r="F50" s="64">
        <f t="shared" si="14"/>
        <v>16.040000000000003</v>
      </c>
      <c r="G50" s="269">
        <f t="shared" si="14"/>
        <v>8.5988872028325752E-2</v>
      </c>
    </row>
    <row r="51" spans="1:7" ht="16.5">
      <c r="A51" s="8"/>
      <c r="D51" s="10" t="s">
        <v>47</v>
      </c>
      <c r="E51" s="288">
        <f t="shared" ref="E51:G51" si="15">MIN(E44:E48)</f>
        <v>2.75</v>
      </c>
      <c r="F51" s="288">
        <f t="shared" si="15"/>
        <v>11.629411764705882</v>
      </c>
      <c r="G51" s="282">
        <f t="shared" si="15"/>
        <v>6.2344139650872807E-2</v>
      </c>
    </row>
    <row r="52" spans="1:7" ht="16.5">
      <c r="A52" s="8"/>
      <c r="D52" s="10" t="s">
        <v>18</v>
      </c>
      <c r="E52" s="65">
        <f>MEDIAN(E44:E48)</f>
        <v>8.5</v>
      </c>
      <c r="F52" s="17">
        <f>MEDIAN(F44:F48)</f>
        <v>13.181818181818182</v>
      </c>
      <c r="G52" s="50">
        <f>MEDIAN(G44:G48)</f>
        <v>7.586206896551724E-2</v>
      </c>
    </row>
    <row r="53" spans="1:7" ht="16.5">
      <c r="A53" s="8"/>
      <c r="D53" s="10" t="s">
        <v>375</v>
      </c>
      <c r="E53" s="13">
        <f>AVERAGE(E44:E48)</f>
        <v>10.370000000000001</v>
      </c>
      <c r="F53" s="17">
        <f>AVERAGE(F44:F48)</f>
        <v>13.521300611153553</v>
      </c>
      <c r="G53" s="66">
        <f>AVERAGE(G44:G48)</f>
        <v>7.4748460721173984E-2</v>
      </c>
    </row>
    <row r="54" spans="1:7" ht="16.5">
      <c r="A54" s="8"/>
      <c r="C54" s="8"/>
      <c r="D54" s="8"/>
      <c r="E54" s="8"/>
      <c r="F54" s="8"/>
      <c r="G54" s="8"/>
    </row>
    <row r="55" spans="1:7" ht="26.25">
      <c r="A55" s="8"/>
      <c r="C55" s="8"/>
      <c r="D55" s="8"/>
      <c r="E55" s="70" t="s">
        <v>74</v>
      </c>
      <c r="F55" s="272">
        <v>13.52</v>
      </c>
      <c r="G55" s="270">
        <v>7.4700000000000003E-2</v>
      </c>
    </row>
  </sheetData>
  <pageMargins left="0.25" right="0.25" top="0.75" bottom="0.75" header="0.3" footer="0.3"/>
  <pageSetup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85D29-F7AC-49AA-AB69-67F9FC9054F9}">
  <sheetPr>
    <tabColor rgb="FF92D050"/>
    <pageSetUpPr fitToPage="1"/>
  </sheetPr>
  <dimension ref="A1:J85"/>
  <sheetViews>
    <sheetView view="pageBreakPreview" topLeftCell="A63" zoomScale="60" zoomScaleNormal="80" workbookViewId="0">
      <selection activeCell="A76" sqref="A76"/>
    </sheetView>
  </sheetViews>
  <sheetFormatPr defaultRowHeight="15"/>
  <cols>
    <col min="1" max="1" width="74.5703125" customWidth="1"/>
    <col min="2" max="2" width="21.7109375" customWidth="1"/>
    <col min="3" max="3" width="24.5703125" customWidth="1"/>
    <col min="4" max="4" width="29.42578125" customWidth="1"/>
    <col min="5" max="5" width="30.5703125" customWidth="1"/>
    <col min="6" max="6" width="32.140625" customWidth="1"/>
    <col min="7" max="7" width="27" customWidth="1"/>
    <col min="8" max="8" width="13.7109375" customWidth="1"/>
    <col min="9" max="9" width="13.85546875" customWidth="1"/>
    <col min="10" max="11" width="14.140625" bestFit="1" customWidth="1"/>
  </cols>
  <sheetData>
    <row r="1" spans="1:10" ht="26.25">
      <c r="A1" s="19" t="s">
        <v>1</v>
      </c>
      <c r="B1" s="19"/>
      <c r="C1" s="19"/>
      <c r="D1" s="8"/>
      <c r="E1" s="8"/>
      <c r="F1" s="8"/>
      <c r="G1" s="8"/>
      <c r="H1" s="8"/>
      <c r="I1" s="8"/>
      <c r="J1" s="8"/>
    </row>
    <row r="2" spans="1:10" ht="17.25">
      <c r="A2" s="20" t="s">
        <v>9</v>
      </c>
      <c r="B2" s="20"/>
      <c r="C2" s="20"/>
      <c r="D2" s="8"/>
      <c r="E2" s="8"/>
      <c r="F2" s="8"/>
      <c r="G2" s="8"/>
      <c r="H2" s="8"/>
      <c r="I2" s="8"/>
      <c r="J2" s="8"/>
    </row>
    <row r="3" spans="1:10" ht="16.5">
      <c r="A3" s="21" t="s">
        <v>457</v>
      </c>
      <c r="B3" s="21"/>
      <c r="C3" s="21"/>
      <c r="D3" s="8"/>
      <c r="E3" s="8"/>
      <c r="F3" s="8"/>
      <c r="G3" s="8"/>
      <c r="H3" s="8"/>
      <c r="I3" s="8"/>
      <c r="J3" s="8"/>
    </row>
    <row r="4" spans="1:10" ht="16.5">
      <c r="A4" s="21"/>
      <c r="B4" s="21"/>
      <c r="C4" s="21"/>
      <c r="D4" s="8"/>
      <c r="E4" s="8"/>
      <c r="F4" s="8"/>
      <c r="G4" s="8"/>
      <c r="H4" s="8"/>
      <c r="I4" s="8"/>
      <c r="J4" s="8"/>
    </row>
    <row r="5" spans="1:10" ht="17.25" thickBot="1">
      <c r="A5" s="8"/>
      <c r="B5" s="8"/>
      <c r="C5" s="8"/>
      <c r="D5" s="8"/>
      <c r="E5" s="8"/>
      <c r="F5" s="8"/>
      <c r="G5" s="8"/>
      <c r="H5" s="479" t="s">
        <v>0</v>
      </c>
      <c r="I5" s="22"/>
      <c r="J5" s="8"/>
    </row>
    <row r="6" spans="1:10" ht="21" thickBot="1">
      <c r="A6" s="23" t="str">
        <f>+'S&amp;D'!A12</f>
        <v>Railroad Carriers</v>
      </c>
      <c r="B6" s="8"/>
      <c r="C6" s="8"/>
      <c r="D6" s="24"/>
      <c r="E6" s="24"/>
      <c r="F6" s="24"/>
      <c r="G6" s="8"/>
      <c r="H6" s="8"/>
      <c r="I6" s="8"/>
      <c r="J6" s="8"/>
    </row>
    <row r="7" spans="1:10" ht="26.25">
      <c r="B7" s="25"/>
      <c r="C7" s="25"/>
      <c r="D7" s="8"/>
      <c r="E7" s="26" t="s">
        <v>199</v>
      </c>
      <c r="F7" s="8"/>
      <c r="G7" s="8"/>
      <c r="H7" s="8"/>
      <c r="I7" s="8"/>
      <c r="J7" s="8"/>
    </row>
    <row r="8" spans="1:10" ht="21" thickBot="1">
      <c r="A8" s="25"/>
      <c r="B8" s="25"/>
      <c r="C8" s="25"/>
      <c r="D8" s="24"/>
      <c r="E8" s="31" t="s">
        <v>470</v>
      </c>
      <c r="F8" s="24"/>
      <c r="G8" s="8"/>
      <c r="H8" s="8"/>
      <c r="I8" s="8"/>
      <c r="J8" s="8"/>
    </row>
    <row r="9" spans="1:10" ht="20.25">
      <c r="A9" s="25"/>
      <c r="B9" s="25"/>
      <c r="C9" s="25"/>
      <c r="D9" s="8"/>
      <c r="E9" s="29"/>
      <c r="F9" s="8"/>
      <c r="G9" s="8"/>
      <c r="H9" s="8"/>
      <c r="I9" s="8"/>
      <c r="J9" s="8"/>
    </row>
    <row r="10" spans="1:10" ht="20.25">
      <c r="A10" s="25"/>
      <c r="B10" s="25"/>
      <c r="H10" s="8"/>
      <c r="I10" s="8"/>
      <c r="J10" s="8"/>
    </row>
    <row r="11" spans="1:10" ht="20.25">
      <c r="A11" s="25"/>
      <c r="B11" s="25"/>
      <c r="H11" s="8"/>
      <c r="I11" s="8"/>
      <c r="J11" s="8"/>
    </row>
    <row r="12" spans="1:10" ht="30" customHeight="1" thickBot="1">
      <c r="A12" s="25"/>
      <c r="B12" s="25"/>
      <c r="C12" t="s">
        <v>0</v>
      </c>
      <c r="H12" s="8"/>
      <c r="I12" s="8"/>
      <c r="J12" s="8"/>
    </row>
    <row r="13" spans="1:10" ht="26.25" customHeight="1" thickBot="1">
      <c r="A13" s="138" t="s">
        <v>214</v>
      </c>
      <c r="B13" s="8" t="s">
        <v>0</v>
      </c>
      <c r="C13" s="8"/>
      <c r="D13" s="8"/>
      <c r="E13" s="8"/>
      <c r="F13" s="8"/>
      <c r="G13" s="8"/>
      <c r="H13" s="8"/>
      <c r="I13" s="8"/>
      <c r="J13" s="8"/>
    </row>
    <row r="14" spans="1:10" ht="42" customHeight="1" thickBot="1">
      <c r="A14" s="137" t="s">
        <v>212</v>
      </c>
      <c r="B14" s="136" t="s">
        <v>203</v>
      </c>
      <c r="C14" s="135" t="s">
        <v>215</v>
      </c>
      <c r="D14" s="136" t="s">
        <v>205</v>
      </c>
      <c r="E14" s="136" t="s">
        <v>369</v>
      </c>
      <c r="F14" s="134" t="s">
        <v>204</v>
      </c>
      <c r="G14" s="8"/>
      <c r="H14" s="8"/>
      <c r="I14" s="8"/>
      <c r="J14" s="8"/>
    </row>
    <row r="15" spans="1:10" ht="16.5">
      <c r="A15" s="131"/>
      <c r="B15" s="100"/>
      <c r="C15" s="100"/>
      <c r="D15" s="100"/>
      <c r="E15" s="100"/>
      <c r="F15" s="132"/>
      <c r="G15" s="8"/>
      <c r="H15" s="8"/>
      <c r="I15" s="8"/>
      <c r="J15" s="8"/>
    </row>
    <row r="16" spans="1:10" ht="17.25">
      <c r="A16" s="161" t="s">
        <v>447</v>
      </c>
      <c r="B16" s="173">
        <v>2.9399999999999999E-2</v>
      </c>
      <c r="C16" s="170">
        <f>+'Beta for CAPM'!H29</f>
        <v>0.95</v>
      </c>
      <c r="D16" s="162">
        <f>+B16*C16</f>
        <v>2.7929999999999996E-2</v>
      </c>
      <c r="E16" s="162">
        <f>+'Growth &amp; Inflation Rates'!G24</f>
        <v>4.8099999999999997E-2</v>
      </c>
      <c r="F16" s="163">
        <f>+D16+E16</f>
        <v>7.6029999999999986E-2</v>
      </c>
      <c r="G16" s="8"/>
      <c r="H16" s="8"/>
      <c r="I16" s="8"/>
      <c r="J16" s="8"/>
    </row>
    <row r="17" spans="1:10" ht="17.25">
      <c r="A17" s="161" t="s">
        <v>448</v>
      </c>
      <c r="B17" s="173">
        <v>2.98E-2</v>
      </c>
      <c r="C17" s="170">
        <f>+C16</f>
        <v>0.95</v>
      </c>
      <c r="D17" s="162">
        <f>+B17*C17</f>
        <v>2.8309999999999998E-2</v>
      </c>
      <c r="E17" s="162">
        <f>+E16</f>
        <v>4.8099999999999997E-2</v>
      </c>
      <c r="F17" s="163">
        <f>+D17+E17</f>
        <v>7.6409999999999992E-2</v>
      </c>
      <c r="G17" s="8"/>
      <c r="H17" s="8"/>
      <c r="I17" s="8"/>
      <c r="J17" s="8"/>
    </row>
    <row r="18" spans="1:10" ht="17.25">
      <c r="A18" s="164"/>
      <c r="B18" s="98"/>
      <c r="C18" s="98"/>
      <c r="D18" s="98"/>
      <c r="E18" s="98"/>
      <c r="F18" s="165"/>
      <c r="G18" s="8"/>
      <c r="H18" s="8"/>
      <c r="I18" s="8"/>
      <c r="J18" s="8"/>
    </row>
    <row r="19" spans="1:10" ht="17.25">
      <c r="A19" s="161" t="s">
        <v>382</v>
      </c>
      <c r="B19" s="173">
        <v>4.2299999999999997E-2</v>
      </c>
      <c r="C19" s="170">
        <f>+C16</f>
        <v>0.95</v>
      </c>
      <c r="D19" s="162">
        <f>+B19*C19</f>
        <v>4.0184999999999998E-2</v>
      </c>
      <c r="E19" s="162">
        <f>+E16</f>
        <v>4.8099999999999997E-2</v>
      </c>
      <c r="F19" s="163">
        <f>+D19+E19</f>
        <v>8.8285000000000002E-2</v>
      </c>
      <c r="G19" s="8"/>
      <c r="H19" s="8"/>
      <c r="I19" s="8"/>
      <c r="J19" s="8"/>
    </row>
    <row r="20" spans="1:10" ht="17.25">
      <c r="A20" s="161" t="s">
        <v>401</v>
      </c>
      <c r="B20" s="173">
        <v>6.1800000000000001E-2</v>
      </c>
      <c r="C20" s="170">
        <f>+C16</f>
        <v>0.95</v>
      </c>
      <c r="D20" s="162">
        <f>+B20*C20</f>
        <v>5.8709999999999998E-2</v>
      </c>
      <c r="E20" s="162">
        <f>+E16</f>
        <v>4.8099999999999997E-2</v>
      </c>
      <c r="F20" s="163">
        <f>+D20+E20</f>
        <v>0.10680999999999999</v>
      </c>
      <c r="G20" s="8"/>
      <c r="H20" s="8"/>
      <c r="I20" s="8"/>
      <c r="J20" s="8"/>
    </row>
    <row r="21" spans="1:10" ht="17.25">
      <c r="A21" s="161" t="s">
        <v>383</v>
      </c>
      <c r="B21" s="173">
        <v>3.9600000000000003E-2</v>
      </c>
      <c r="C21" s="170">
        <f>+C16</f>
        <v>0.95</v>
      </c>
      <c r="D21" s="162">
        <f>+B21*C21</f>
        <v>3.7620000000000001E-2</v>
      </c>
      <c r="E21" s="162">
        <f>+E16</f>
        <v>4.8099999999999997E-2</v>
      </c>
      <c r="F21" s="163">
        <f>+D21+E21</f>
        <v>8.5719999999999991E-2</v>
      </c>
      <c r="G21" s="8"/>
      <c r="H21" s="8"/>
      <c r="I21" s="8"/>
      <c r="J21" s="8"/>
    </row>
    <row r="22" spans="1:10" ht="17.25">
      <c r="A22" s="161" t="s">
        <v>384</v>
      </c>
      <c r="B22" s="173">
        <v>3.6200000000000003E-2</v>
      </c>
      <c r="C22" s="170">
        <f>+C16</f>
        <v>0.95</v>
      </c>
      <c r="D22" s="162">
        <f>+B22*C22</f>
        <v>3.4390000000000004E-2</v>
      </c>
      <c r="E22" s="162">
        <f>+E16</f>
        <v>4.8099999999999997E-2</v>
      </c>
      <c r="F22" s="163">
        <f>+D22+E22</f>
        <v>8.2490000000000008E-2</v>
      </c>
      <c r="G22" s="8"/>
      <c r="H22" s="8"/>
      <c r="I22" s="8"/>
      <c r="J22" s="8"/>
    </row>
    <row r="23" spans="1:10" ht="17.25">
      <c r="A23" s="161" t="s">
        <v>0</v>
      </c>
      <c r="B23" s="173"/>
      <c r="C23" s="171" t="s">
        <v>0</v>
      </c>
      <c r="D23" s="162" t="s">
        <v>0</v>
      </c>
      <c r="E23" s="162" t="s">
        <v>0</v>
      </c>
      <c r="F23" s="163" t="s">
        <v>0</v>
      </c>
      <c r="G23" s="8"/>
      <c r="H23" s="8"/>
      <c r="I23" s="8"/>
      <c r="J23" s="8"/>
    </row>
    <row r="24" spans="1:10" ht="17.25">
      <c r="A24" s="161" t="s">
        <v>208</v>
      </c>
      <c r="B24" s="173">
        <v>5.6099999999999997E-2</v>
      </c>
      <c r="C24" s="170">
        <f>+C16</f>
        <v>0.95</v>
      </c>
      <c r="D24" s="162">
        <f>+B24*C24</f>
        <v>5.3294999999999995E-2</v>
      </c>
      <c r="E24" s="162">
        <f>+E16</f>
        <v>4.8099999999999997E-2</v>
      </c>
      <c r="F24" s="163">
        <f>+D24+E24</f>
        <v>0.10139499999999999</v>
      </c>
      <c r="G24" s="8"/>
      <c r="H24" s="8"/>
      <c r="I24" s="8"/>
      <c r="J24" s="8"/>
    </row>
    <row r="25" spans="1:10" ht="17.25">
      <c r="A25" s="161" t="s">
        <v>0</v>
      </c>
      <c r="B25" s="173"/>
      <c r="C25" s="171" t="s">
        <v>0</v>
      </c>
      <c r="D25" s="162" t="s">
        <v>0</v>
      </c>
      <c r="E25" s="162" t="s">
        <v>0</v>
      </c>
      <c r="F25" s="163" t="s">
        <v>0</v>
      </c>
      <c r="G25" s="8"/>
      <c r="H25" s="8"/>
      <c r="I25" s="8"/>
      <c r="J25" s="8"/>
    </row>
    <row r="26" spans="1:10" ht="17.25">
      <c r="A26" s="161" t="s">
        <v>400</v>
      </c>
      <c r="B26" s="173">
        <v>5.5E-2</v>
      </c>
      <c r="C26" s="170">
        <f>+C16</f>
        <v>0.95</v>
      </c>
      <c r="D26" s="162">
        <f>+B26*C26</f>
        <v>5.2249999999999998E-2</v>
      </c>
      <c r="E26" s="162">
        <f>+E16</f>
        <v>4.8099999999999997E-2</v>
      </c>
      <c r="F26" s="163">
        <f>+D26+E26</f>
        <v>0.10034999999999999</v>
      </c>
      <c r="G26" s="8"/>
      <c r="H26" s="8"/>
      <c r="I26" s="8"/>
      <c r="J26" s="8"/>
    </row>
    <row r="27" spans="1:10" ht="17.25">
      <c r="A27" s="161" t="s">
        <v>0</v>
      </c>
      <c r="B27" s="173"/>
      <c r="C27" s="171" t="s">
        <v>0</v>
      </c>
      <c r="D27" s="162" t="s">
        <v>0</v>
      </c>
      <c r="E27" s="162" t="s">
        <v>0</v>
      </c>
      <c r="F27" s="163" t="s">
        <v>0</v>
      </c>
      <c r="G27" s="8"/>
      <c r="H27" s="8"/>
      <c r="I27" s="8"/>
      <c r="J27" s="8"/>
    </row>
    <row r="28" spans="1:10" ht="17.25">
      <c r="A28" s="161" t="s">
        <v>209</v>
      </c>
      <c r="B28" s="173">
        <v>6.7799999999999999E-2</v>
      </c>
      <c r="C28" s="170">
        <f>+C16</f>
        <v>0.95</v>
      </c>
      <c r="D28" s="162">
        <f>+B28*C28</f>
        <v>6.4409999999999995E-2</v>
      </c>
      <c r="E28" s="162">
        <f>+E16</f>
        <v>4.8099999999999997E-2</v>
      </c>
      <c r="F28" s="163">
        <f>+D28+E28</f>
        <v>0.11251</v>
      </c>
      <c r="G28" s="8"/>
      <c r="H28" s="8"/>
      <c r="I28" s="8"/>
      <c r="J28" s="8"/>
    </row>
    <row r="29" spans="1:10" ht="17.25">
      <c r="A29" s="161" t="s">
        <v>210</v>
      </c>
      <c r="B29" s="173">
        <v>5.5399999999999998E-2</v>
      </c>
      <c r="C29" s="170">
        <f>+C16</f>
        <v>0.95</v>
      </c>
      <c r="D29" s="162">
        <f>+B29*C29</f>
        <v>5.2629999999999996E-2</v>
      </c>
      <c r="E29" s="162">
        <f>+E16</f>
        <v>4.8099999999999997E-2</v>
      </c>
      <c r="F29" s="163">
        <f>+D29+E29</f>
        <v>0.10072999999999999</v>
      </c>
      <c r="G29" s="8"/>
      <c r="H29" s="8"/>
      <c r="I29" s="8"/>
      <c r="J29" s="8"/>
    </row>
    <row r="30" spans="1:10" ht="17.25">
      <c r="A30" s="161"/>
      <c r="B30" s="173"/>
      <c r="C30" s="170"/>
      <c r="D30" s="162"/>
      <c r="E30" s="162"/>
      <c r="F30" s="163"/>
      <c r="G30" s="8"/>
      <c r="H30" s="8"/>
      <c r="I30" s="8"/>
      <c r="J30" s="8"/>
    </row>
    <row r="31" spans="1:10" ht="17.25">
      <c r="A31" s="161" t="s">
        <v>385</v>
      </c>
      <c r="B31" s="173">
        <v>7.3700000000000002E-2</v>
      </c>
      <c r="C31" s="170">
        <f>+C16</f>
        <v>0.95</v>
      </c>
      <c r="D31" s="162">
        <f>+B31*C31</f>
        <v>7.0014999999999994E-2</v>
      </c>
      <c r="E31" s="162">
        <f>+E16</f>
        <v>4.8099999999999997E-2</v>
      </c>
      <c r="F31" s="163">
        <f>+D31+E31</f>
        <v>0.118115</v>
      </c>
      <c r="G31" s="8"/>
      <c r="H31" s="8"/>
      <c r="I31" s="8"/>
      <c r="J31" s="8"/>
    </row>
    <row r="32" spans="1:10" ht="17.25">
      <c r="A32" s="161" t="s">
        <v>386</v>
      </c>
      <c r="B32" s="173">
        <v>6.3100000000000003E-2</v>
      </c>
      <c r="C32" s="170">
        <f>+C16</f>
        <v>0.95</v>
      </c>
      <c r="D32" s="162">
        <f>+B32*C32</f>
        <v>5.9944999999999998E-2</v>
      </c>
      <c r="E32" s="162">
        <f>+E16</f>
        <v>4.8099999999999997E-2</v>
      </c>
      <c r="F32" s="163">
        <f>+D32+E32</f>
        <v>0.108045</v>
      </c>
      <c r="G32" s="8"/>
      <c r="H32" s="8"/>
      <c r="I32" s="8"/>
      <c r="J32" s="8"/>
    </row>
    <row r="33" spans="1:10" ht="17.25">
      <c r="A33" s="161" t="s">
        <v>387</v>
      </c>
      <c r="B33" s="173">
        <v>0.05</v>
      </c>
      <c r="C33" s="170">
        <f>+C16</f>
        <v>0.95</v>
      </c>
      <c r="D33" s="162">
        <f>+B33*C33</f>
        <v>4.7500000000000001E-2</v>
      </c>
      <c r="E33" s="162">
        <f>+E16</f>
        <v>4.8099999999999997E-2</v>
      </c>
      <c r="F33" s="163">
        <f>+D33+E33</f>
        <v>9.5599999999999991E-2</v>
      </c>
      <c r="G33" s="8"/>
      <c r="H33" s="8"/>
      <c r="I33" s="8"/>
      <c r="J33" s="8"/>
    </row>
    <row r="34" spans="1:10" ht="17.25">
      <c r="A34" s="161"/>
      <c r="B34" s="173"/>
      <c r="C34" s="170"/>
      <c r="D34" s="162"/>
      <c r="E34" s="162"/>
      <c r="F34" s="163"/>
      <c r="G34" s="8"/>
      <c r="H34" s="8"/>
      <c r="I34" s="8"/>
      <c r="J34" s="8"/>
    </row>
    <row r="35" spans="1:10" ht="17.25">
      <c r="A35" s="357" t="s">
        <v>0</v>
      </c>
      <c r="B35" s="358" t="s">
        <v>0</v>
      </c>
      <c r="C35" s="170" t="s">
        <v>0</v>
      </c>
      <c r="D35" s="162" t="s">
        <v>0</v>
      </c>
      <c r="E35" s="162" t="s">
        <v>0</v>
      </c>
      <c r="F35" s="163" t="s">
        <v>0</v>
      </c>
      <c r="G35" s="8"/>
      <c r="H35" s="8"/>
      <c r="I35" s="8"/>
      <c r="J35" s="8"/>
    </row>
    <row r="36" spans="1:10" ht="17.25" thickBot="1">
      <c r="A36" s="341"/>
      <c r="B36" s="24"/>
      <c r="C36" s="24"/>
      <c r="D36" s="24"/>
      <c r="E36" s="24"/>
      <c r="F36" s="342"/>
      <c r="G36" s="8"/>
      <c r="H36" s="8"/>
      <c r="I36" s="8"/>
      <c r="J36" s="8"/>
    </row>
    <row r="37" spans="1:10" ht="16.5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ht="17.25" thickBot="1">
      <c r="A38" s="8"/>
      <c r="B38" s="8"/>
      <c r="C38" s="8"/>
      <c r="D38" s="8"/>
      <c r="E38" s="8"/>
      <c r="F38" s="8"/>
      <c r="G38" s="8" t="s">
        <v>0</v>
      </c>
      <c r="H38" s="8"/>
      <c r="I38" s="8"/>
      <c r="J38" s="8"/>
    </row>
    <row r="39" spans="1:10" ht="27" customHeight="1" thickBot="1">
      <c r="A39" s="138" t="s">
        <v>213</v>
      </c>
      <c r="B39" s="8"/>
      <c r="C39" s="8"/>
      <c r="D39" s="8"/>
      <c r="E39" s="8"/>
      <c r="F39" s="8"/>
      <c r="G39" s="8"/>
      <c r="H39" s="8"/>
      <c r="I39" s="8"/>
      <c r="J39" s="8"/>
    </row>
    <row r="40" spans="1:10" ht="44.25" customHeight="1" thickBot="1">
      <c r="A40" s="137" t="s">
        <v>211</v>
      </c>
      <c r="B40" s="136" t="s">
        <v>203</v>
      </c>
      <c r="C40" s="135" t="s">
        <v>215</v>
      </c>
      <c r="D40" s="136" t="s">
        <v>206</v>
      </c>
      <c r="E40" s="136" t="s">
        <v>207</v>
      </c>
      <c r="F40" s="136" t="s">
        <v>369</v>
      </c>
      <c r="G40" s="134" t="s">
        <v>204</v>
      </c>
      <c r="H40" s="8"/>
      <c r="I40" s="8"/>
      <c r="J40" s="8"/>
    </row>
    <row r="41" spans="1:10" ht="16.5">
      <c r="A41" s="131"/>
      <c r="B41" s="100"/>
      <c r="C41" s="100"/>
      <c r="D41" s="100"/>
      <c r="E41" s="100"/>
      <c r="F41" s="100"/>
      <c r="G41" s="132"/>
      <c r="H41" s="8"/>
      <c r="I41" s="8"/>
      <c r="J41" s="8"/>
    </row>
    <row r="42" spans="1:10" ht="17.25">
      <c r="A42" s="161" t="str">
        <f t="shared" ref="A42:C43" si="0">+A16</f>
        <v>Three Stage Ex Ante  Version 1  (1)</v>
      </c>
      <c r="B42" s="173">
        <f t="shared" si="0"/>
        <v>2.9399999999999999E-2</v>
      </c>
      <c r="C42" s="169">
        <f t="shared" si="0"/>
        <v>0.95</v>
      </c>
      <c r="D42" s="162">
        <f>+B42*C42*0.75</f>
        <v>2.0947499999999997E-2</v>
      </c>
      <c r="E42" s="173">
        <f>+B42*0.25</f>
        <v>7.3499999999999998E-3</v>
      </c>
      <c r="F42" s="162">
        <f>+E16</f>
        <v>4.8099999999999997E-2</v>
      </c>
      <c r="G42" s="163">
        <f>+D42+E42+F42</f>
        <v>7.6397499999999993E-2</v>
      </c>
      <c r="H42" s="8"/>
      <c r="I42" s="8"/>
      <c r="J42" s="8"/>
    </row>
    <row r="43" spans="1:10" ht="17.25">
      <c r="A43" s="161" t="str">
        <f t="shared" si="0"/>
        <v>Three Stage Ex Ante  Version 2   (2)</v>
      </c>
      <c r="B43" s="173">
        <f t="shared" si="0"/>
        <v>2.98E-2</v>
      </c>
      <c r="C43" s="169">
        <f t="shared" si="0"/>
        <v>0.95</v>
      </c>
      <c r="D43" s="162">
        <f>+B43*C43*0.75</f>
        <v>2.1232499999999998E-2</v>
      </c>
      <c r="E43" s="173">
        <f>+B43*0.25</f>
        <v>7.45E-3</v>
      </c>
      <c r="F43" s="162">
        <f>+E17</f>
        <v>4.8099999999999997E-2</v>
      </c>
      <c r="G43" s="163">
        <f>+D43+E43+F43</f>
        <v>7.6782500000000004E-2</v>
      </c>
      <c r="H43" s="8"/>
      <c r="I43" s="8"/>
      <c r="J43" s="8"/>
    </row>
    <row r="44" spans="1:10" ht="17.25">
      <c r="A44" s="164"/>
      <c r="B44" s="98"/>
      <c r="C44" s="98"/>
      <c r="D44" s="98"/>
      <c r="E44" s="98"/>
      <c r="F44" s="98"/>
      <c r="G44" s="165"/>
      <c r="H44" s="8"/>
      <c r="I44" s="8"/>
      <c r="J44" s="8"/>
    </row>
    <row r="45" spans="1:10" ht="17.25">
      <c r="A45" s="161" t="str">
        <f>+A19</f>
        <v>Damodaran Implied ERP Ex Ante   Trailing 12 mo Cash Yield (3)</v>
      </c>
      <c r="B45" s="173">
        <f t="shared" ref="B45:C46" si="1">+B19</f>
        <v>4.2299999999999997E-2</v>
      </c>
      <c r="C45" s="169">
        <f t="shared" si="1"/>
        <v>0.95</v>
      </c>
      <c r="D45" s="162">
        <f>+B45*C45*0.75</f>
        <v>3.0138749999999999E-2</v>
      </c>
      <c r="E45" s="173">
        <f>+B45*0.25</f>
        <v>1.0574999999999999E-2</v>
      </c>
      <c r="F45" s="162">
        <f>+E19</f>
        <v>4.8099999999999997E-2</v>
      </c>
      <c r="G45" s="163">
        <f>+D45+E45+F45</f>
        <v>8.8813749999999997E-2</v>
      </c>
      <c r="H45" s="8"/>
      <c r="I45" s="8"/>
      <c r="J45" s="8"/>
    </row>
    <row r="46" spans="1:10" ht="17.25">
      <c r="A46" s="161" t="str">
        <f>+A20</f>
        <v>Damodaran Implied ERP Ex Ante   Avg CF Yield Last 10 Yrs (3)</v>
      </c>
      <c r="B46" s="173">
        <f t="shared" si="1"/>
        <v>6.1800000000000001E-2</v>
      </c>
      <c r="C46" s="169">
        <f>+C20</f>
        <v>0.95</v>
      </c>
      <c r="D46" s="162">
        <f>+B46*C46*0.75</f>
        <v>4.4032500000000002E-2</v>
      </c>
      <c r="E46" s="173">
        <f>+B46*0.25</f>
        <v>1.545E-2</v>
      </c>
      <c r="F46" s="162">
        <f>+E20</f>
        <v>4.8099999999999997E-2</v>
      </c>
      <c r="G46" s="163">
        <f>+D46+E46+F46</f>
        <v>0.1075825</v>
      </c>
      <c r="H46" s="8"/>
      <c r="I46" s="8"/>
      <c r="J46" s="8"/>
    </row>
    <row r="47" spans="1:10" ht="17.25">
      <c r="A47" s="161" t="str">
        <f>+A21</f>
        <v>Damodaran Implied ERP Ex Ante   Net Cash Yield (3)</v>
      </c>
      <c r="B47" s="173">
        <f>+B21</f>
        <v>3.9600000000000003E-2</v>
      </c>
      <c r="C47" s="169">
        <f>+C21</f>
        <v>0.95</v>
      </c>
      <c r="D47" s="162">
        <f>+B47*C47*0.75</f>
        <v>2.8215E-2</v>
      </c>
      <c r="E47" s="173">
        <f>+B47*0.25</f>
        <v>9.9000000000000008E-3</v>
      </c>
      <c r="F47" s="162">
        <f>+E21</f>
        <v>4.8099999999999997E-2</v>
      </c>
      <c r="G47" s="163">
        <f>+D47+E47+F47</f>
        <v>8.6215E-2</v>
      </c>
      <c r="H47" s="8"/>
      <c r="I47" s="8"/>
      <c r="J47" s="8"/>
    </row>
    <row r="48" spans="1:10" ht="17.25">
      <c r="A48" s="161" t="str">
        <f>+A22</f>
        <v>Damodaran Implied ERP Ex Ante   Norm. Earnings &amp; Payout (3)</v>
      </c>
      <c r="B48" s="173">
        <f>+B22</f>
        <v>3.6200000000000003E-2</v>
      </c>
      <c r="C48" s="169">
        <f>+C22</f>
        <v>0.95</v>
      </c>
      <c r="D48" s="162">
        <f>+B48*C48*0.75</f>
        <v>2.5792500000000003E-2</v>
      </c>
      <c r="E48" s="173">
        <f>+B48*0.25</f>
        <v>9.0500000000000008E-3</v>
      </c>
      <c r="F48" s="162">
        <f>+E22</f>
        <v>4.8099999999999997E-2</v>
      </c>
      <c r="G48" s="163">
        <f>+D48+E48+F48</f>
        <v>8.2942500000000002E-2</v>
      </c>
      <c r="H48" s="8"/>
      <c r="I48" s="8"/>
      <c r="J48" s="8"/>
    </row>
    <row r="49" spans="1:10" ht="17.25">
      <c r="A49" s="161" t="s">
        <v>0</v>
      </c>
      <c r="B49" s="173" t="s">
        <v>0</v>
      </c>
      <c r="C49" s="162" t="s">
        <v>0</v>
      </c>
      <c r="D49" s="162" t="s">
        <v>0</v>
      </c>
      <c r="E49" s="173" t="s">
        <v>0</v>
      </c>
      <c r="F49" s="162" t="s">
        <v>0</v>
      </c>
      <c r="G49" s="163" t="s">
        <v>0</v>
      </c>
      <c r="H49" s="8"/>
      <c r="I49" s="8"/>
      <c r="J49" s="8"/>
    </row>
    <row r="50" spans="1:10" ht="17.25">
      <c r="A50" s="161" t="s">
        <v>208</v>
      </c>
      <c r="B50" s="173">
        <f>+B24</f>
        <v>5.6099999999999997E-2</v>
      </c>
      <c r="C50" s="169">
        <f>+C24</f>
        <v>0.95</v>
      </c>
      <c r="D50" s="162">
        <f>+B50*C50*0.75</f>
        <v>3.997125E-2</v>
      </c>
      <c r="E50" s="173">
        <f>+B50*0.25</f>
        <v>1.4024999999999999E-2</v>
      </c>
      <c r="F50" s="162">
        <f>+E24</f>
        <v>4.8099999999999997E-2</v>
      </c>
      <c r="G50" s="163">
        <f>+D50+E50+F50</f>
        <v>0.10209625</v>
      </c>
      <c r="H50" s="8"/>
      <c r="I50" s="8"/>
      <c r="J50" s="8"/>
    </row>
    <row r="51" spans="1:10" ht="17.25">
      <c r="A51" s="161" t="s">
        <v>0</v>
      </c>
      <c r="B51" s="173" t="s">
        <v>0</v>
      </c>
      <c r="C51" s="162" t="s">
        <v>0</v>
      </c>
      <c r="D51" s="162" t="s">
        <v>0</v>
      </c>
      <c r="E51" s="173" t="s">
        <v>0</v>
      </c>
      <c r="F51" s="162" t="s">
        <v>0</v>
      </c>
      <c r="G51" s="163" t="s">
        <v>0</v>
      </c>
    </row>
    <row r="52" spans="1:10" ht="17.25">
      <c r="A52" s="161" t="s">
        <v>400</v>
      </c>
      <c r="B52" s="173">
        <f>+B26</f>
        <v>5.5E-2</v>
      </c>
      <c r="C52" s="169">
        <f>+C26</f>
        <v>0.95</v>
      </c>
      <c r="D52" s="162">
        <f>+B52*C52*0.75</f>
        <v>3.91875E-2</v>
      </c>
      <c r="E52" s="173">
        <f>+B52*0.25</f>
        <v>1.375E-2</v>
      </c>
      <c r="F52" s="162">
        <f>+E26</f>
        <v>4.8099999999999997E-2</v>
      </c>
      <c r="G52" s="163">
        <f>+D52+E52+F52</f>
        <v>0.1010375</v>
      </c>
    </row>
    <row r="53" spans="1:10" ht="17.25">
      <c r="A53" s="161" t="s">
        <v>0</v>
      </c>
      <c r="B53" s="173" t="s">
        <v>0</v>
      </c>
      <c r="C53" s="162" t="s">
        <v>0</v>
      </c>
      <c r="D53" s="162" t="s">
        <v>0</v>
      </c>
      <c r="E53" s="173" t="s">
        <v>0</v>
      </c>
      <c r="F53" s="162" t="s">
        <v>0</v>
      </c>
      <c r="G53" s="163" t="s">
        <v>0</v>
      </c>
    </row>
    <row r="54" spans="1:10" ht="17.25">
      <c r="A54" s="161" t="s">
        <v>209</v>
      </c>
      <c r="B54" s="173">
        <f>+B28</f>
        <v>6.7799999999999999E-2</v>
      </c>
      <c r="C54" s="169">
        <f>+C28</f>
        <v>0.95</v>
      </c>
      <c r="D54" s="162">
        <f>+B54*C54*0.75</f>
        <v>4.8307499999999996E-2</v>
      </c>
      <c r="E54" s="173">
        <f>+B54*0.25</f>
        <v>1.695E-2</v>
      </c>
      <c r="F54" s="162">
        <f>+E28</f>
        <v>4.8099999999999997E-2</v>
      </c>
      <c r="G54" s="163">
        <f>+D54+E54+F54</f>
        <v>0.1133575</v>
      </c>
    </row>
    <row r="55" spans="1:10" ht="17.25">
      <c r="A55" s="161" t="s">
        <v>210</v>
      </c>
      <c r="B55" s="173">
        <f>+B29</f>
        <v>5.5399999999999998E-2</v>
      </c>
      <c r="C55" s="169">
        <f>+C29</f>
        <v>0.95</v>
      </c>
      <c r="D55" s="162">
        <f>+B55*C55*0.75</f>
        <v>3.9472499999999994E-2</v>
      </c>
      <c r="E55" s="173">
        <f>+B55*0.25</f>
        <v>1.3849999999999999E-2</v>
      </c>
      <c r="F55" s="162">
        <f>+E29</f>
        <v>4.8099999999999997E-2</v>
      </c>
      <c r="G55" s="163">
        <f>+D55+E55+F55</f>
        <v>0.1014225</v>
      </c>
    </row>
    <row r="56" spans="1:10" ht="17.25">
      <c r="A56" s="161"/>
      <c r="B56" s="173"/>
      <c r="C56" s="169"/>
      <c r="D56" s="162"/>
      <c r="E56" s="173"/>
      <c r="F56" s="162"/>
      <c r="G56" s="163"/>
    </row>
    <row r="57" spans="1:10" ht="17.25">
      <c r="A57" s="161" t="s">
        <v>385</v>
      </c>
      <c r="B57" s="173">
        <f t="shared" ref="B57:C59" si="2">+B31</f>
        <v>7.3700000000000002E-2</v>
      </c>
      <c r="C57" s="169">
        <f t="shared" si="2"/>
        <v>0.95</v>
      </c>
      <c r="D57" s="162">
        <f>+B57*C57*0.75</f>
        <v>5.2511249999999995E-2</v>
      </c>
      <c r="E57" s="173">
        <f>+B57*0.25</f>
        <v>1.8425E-2</v>
      </c>
      <c r="F57" s="162">
        <f>+E31</f>
        <v>4.8099999999999997E-2</v>
      </c>
      <c r="G57" s="163">
        <f>+D57+E57+F57</f>
        <v>0.11903624999999998</v>
      </c>
    </row>
    <row r="58" spans="1:10" ht="17.25">
      <c r="A58" s="161" t="s">
        <v>386</v>
      </c>
      <c r="B58" s="173">
        <f t="shared" si="2"/>
        <v>6.3100000000000003E-2</v>
      </c>
      <c r="C58" s="169">
        <f t="shared" si="2"/>
        <v>0.95</v>
      </c>
      <c r="D58" s="162">
        <f>+B58*C58*0.75</f>
        <v>4.4958749999999999E-2</v>
      </c>
      <c r="E58" s="173">
        <f>+B58*0.25</f>
        <v>1.5775000000000001E-2</v>
      </c>
      <c r="F58" s="162">
        <f>+E32</f>
        <v>4.8099999999999997E-2</v>
      </c>
      <c r="G58" s="163">
        <f>+D58+E58+F58</f>
        <v>0.10883375000000001</v>
      </c>
    </row>
    <row r="59" spans="1:10" ht="17.25">
      <c r="A59" s="161" t="s">
        <v>387</v>
      </c>
      <c r="B59" s="173">
        <f t="shared" si="2"/>
        <v>0.05</v>
      </c>
      <c r="C59" s="169">
        <f t="shared" si="2"/>
        <v>0.95</v>
      </c>
      <c r="D59" s="162">
        <f>+B59*C59*0.75</f>
        <v>3.5625000000000004E-2</v>
      </c>
      <c r="E59" s="173">
        <f>+B59*0.25</f>
        <v>1.2500000000000001E-2</v>
      </c>
      <c r="F59" s="162">
        <f>+E33</f>
        <v>4.8099999999999997E-2</v>
      </c>
      <c r="G59" s="163">
        <f>+D59+E59+F59</f>
        <v>9.6225000000000005E-2</v>
      </c>
    </row>
    <row r="60" spans="1:10" ht="17.25">
      <c r="A60" s="161"/>
      <c r="B60" s="173"/>
      <c r="C60" s="169"/>
      <c r="D60" s="162"/>
      <c r="E60" s="173"/>
      <c r="F60" s="162"/>
      <c r="G60" s="163"/>
    </row>
    <row r="61" spans="1:10" ht="17.25">
      <c r="A61" s="357" t="s">
        <v>0</v>
      </c>
      <c r="B61" s="358" t="s">
        <v>0</v>
      </c>
      <c r="C61" s="169" t="s">
        <v>0</v>
      </c>
      <c r="D61" s="162" t="s">
        <v>0</v>
      </c>
      <c r="E61" s="173" t="s">
        <v>0</v>
      </c>
      <c r="F61" s="162" t="s">
        <v>0</v>
      </c>
      <c r="G61" s="163" t="s">
        <v>0</v>
      </c>
    </row>
    <row r="62" spans="1:10" ht="15.75" thickBot="1">
      <c r="A62" s="252"/>
      <c r="B62" s="129"/>
      <c r="C62" s="129"/>
      <c r="D62" s="129"/>
      <c r="E62" s="129"/>
      <c r="F62" s="129"/>
      <c r="G62" s="253"/>
    </row>
    <row r="64" spans="1:10" ht="17.25">
      <c r="A64" s="56" t="s">
        <v>72</v>
      </c>
      <c r="E64" s="172" t="s">
        <v>0</v>
      </c>
    </row>
    <row r="65" spans="1:7">
      <c r="A65" s="457" t="s">
        <v>0</v>
      </c>
      <c r="E65" s="172" t="s">
        <v>0</v>
      </c>
    </row>
    <row r="66" spans="1:7" ht="16.5">
      <c r="A66" s="355" t="s">
        <v>449</v>
      </c>
      <c r="B66" s="8"/>
      <c r="C66" s="8"/>
      <c r="D66" s="8"/>
      <c r="E66" s="8"/>
      <c r="F66" s="8"/>
      <c r="G66" s="8"/>
    </row>
    <row r="67" spans="1:7" ht="16.5">
      <c r="A67" s="355" t="s">
        <v>450</v>
      </c>
      <c r="B67" s="8"/>
      <c r="C67" s="8"/>
      <c r="D67" s="8"/>
      <c r="E67" s="8"/>
      <c r="F67" s="8"/>
      <c r="G67" s="8"/>
    </row>
    <row r="68" spans="1:7" ht="16.5">
      <c r="A68" s="38" t="s">
        <v>0</v>
      </c>
      <c r="B68" s="8"/>
      <c r="C68" s="8"/>
      <c r="D68" s="8"/>
      <c r="E68" s="8"/>
      <c r="F68" s="8"/>
      <c r="G68" s="8"/>
    </row>
    <row r="69" spans="1:7" ht="16.5">
      <c r="A69" s="38" t="s">
        <v>485</v>
      </c>
      <c r="B69" s="8"/>
      <c r="C69" s="8"/>
      <c r="D69" s="8"/>
      <c r="E69" s="8"/>
      <c r="F69" s="8"/>
      <c r="G69" s="8"/>
    </row>
    <row r="70" spans="1:7" ht="16.5">
      <c r="A70" s="414" t="s">
        <v>379</v>
      </c>
      <c r="C70" s="8"/>
      <c r="D70" s="8"/>
      <c r="E70" s="8"/>
      <c r="F70" s="8"/>
      <c r="G70" s="8"/>
    </row>
    <row r="71" spans="1:7" ht="16.5">
      <c r="A71" s="38" t="s">
        <v>0</v>
      </c>
      <c r="B71" s="8"/>
      <c r="C71" s="8"/>
      <c r="D71" s="8"/>
      <c r="E71" s="8"/>
      <c r="F71" s="8"/>
      <c r="G71" s="8"/>
    </row>
    <row r="72" spans="1:7" ht="16.5">
      <c r="A72" s="38" t="s">
        <v>486</v>
      </c>
      <c r="B72" s="8"/>
      <c r="C72" s="8"/>
      <c r="D72" s="8"/>
      <c r="E72" s="8"/>
      <c r="F72" s="8"/>
      <c r="G72" s="8"/>
    </row>
    <row r="73" spans="1:7" ht="16.5">
      <c r="A73" s="414" t="s">
        <v>378</v>
      </c>
      <c r="B73" s="8"/>
      <c r="C73" s="8"/>
      <c r="D73" s="8"/>
      <c r="E73" s="8"/>
      <c r="F73" s="8"/>
      <c r="G73" s="8"/>
    </row>
    <row r="74" spans="1:7" ht="16.5">
      <c r="A74" s="38"/>
      <c r="B74" s="8"/>
      <c r="C74" s="8"/>
      <c r="D74" s="8"/>
      <c r="E74" s="8"/>
      <c r="F74" s="8"/>
      <c r="G74" s="8"/>
    </row>
    <row r="75" spans="1:7" ht="16.5">
      <c r="A75" s="38" t="s">
        <v>487</v>
      </c>
      <c r="B75" s="8"/>
      <c r="C75" s="8"/>
      <c r="D75" s="8"/>
      <c r="E75" s="8"/>
      <c r="F75" s="8"/>
      <c r="G75" s="8"/>
    </row>
    <row r="76" spans="1:7" ht="16.5">
      <c r="A76" s="414" t="s">
        <v>490</v>
      </c>
      <c r="B76" s="8"/>
      <c r="C76" s="8"/>
      <c r="D76" s="8"/>
      <c r="E76" s="8"/>
      <c r="F76" s="8"/>
      <c r="G76" s="8"/>
    </row>
    <row r="77" spans="1:7" ht="16.5">
      <c r="A77" s="38"/>
      <c r="B77" s="8"/>
      <c r="C77" s="8"/>
      <c r="D77" s="8"/>
      <c r="E77" s="8"/>
      <c r="F77" s="8"/>
      <c r="G77" s="8"/>
    </row>
    <row r="78" spans="1:7" ht="16.5">
      <c r="A78" s="38" t="s">
        <v>459</v>
      </c>
      <c r="B78" s="8"/>
      <c r="C78" s="8"/>
      <c r="D78" s="8"/>
      <c r="E78" s="8"/>
      <c r="F78" s="8"/>
      <c r="G78" s="8"/>
    </row>
    <row r="79" spans="1:7" ht="16.5">
      <c r="A79" s="414" t="s">
        <v>377</v>
      </c>
      <c r="B79" s="8"/>
      <c r="C79" s="8"/>
      <c r="D79" s="8"/>
      <c r="E79" s="8"/>
      <c r="F79" s="8"/>
      <c r="G79" s="8"/>
    </row>
    <row r="80" spans="1:7">
      <c r="A80" s="457"/>
    </row>
    <row r="81" spans="1:7" ht="16.5">
      <c r="A81" s="38" t="s">
        <v>460</v>
      </c>
    </row>
    <row r="82" spans="1:7" ht="16.5">
      <c r="A82" s="38" t="s">
        <v>0</v>
      </c>
    </row>
    <row r="83" spans="1:7" ht="16.5">
      <c r="A83" s="355" t="s">
        <v>0</v>
      </c>
    </row>
    <row r="84" spans="1:7" ht="16.5">
      <c r="A84" s="356"/>
    </row>
    <row r="85" spans="1:7" ht="21" thickBot="1">
      <c r="A85" s="130"/>
      <c r="B85" s="130"/>
      <c r="C85" s="130"/>
      <c r="D85" s="24"/>
      <c r="E85" s="31"/>
      <c r="F85" s="24"/>
      <c r="G85" s="129"/>
    </row>
  </sheetData>
  <hyperlinks>
    <hyperlink ref="A79" r:id="rId1" xr:uid="{3EBD253D-B1F6-4122-9C9B-FFC5358F26A4}"/>
    <hyperlink ref="A70" r:id="rId2" xr:uid="{C9385369-F78C-42FD-9ABE-5BD04400D145}"/>
    <hyperlink ref="A73" r:id="rId3" xr:uid="{9539D2F8-B92A-43B3-AD86-08B8351CA26A}"/>
    <hyperlink ref="A76" r:id="rId4" xr:uid="{66F17F60-CCE4-43D5-B00C-1A5E6E3C05D8}"/>
  </hyperlinks>
  <pageMargins left="0.25" right="0.25" top="0.75" bottom="0.75" header="0.3" footer="0.3"/>
  <pageSetup scale="40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AA241-0A64-46CC-9E60-C6F323522AA0}">
  <sheetPr>
    <tabColor rgb="FF92D050"/>
  </sheetPr>
  <dimension ref="A1:R108"/>
  <sheetViews>
    <sheetView view="pageBreakPreview" topLeftCell="A52" zoomScale="50" zoomScaleNormal="80" zoomScaleSheetLayoutView="50" workbookViewId="0">
      <selection activeCell="A74" sqref="A74"/>
    </sheetView>
  </sheetViews>
  <sheetFormatPr defaultRowHeight="15"/>
  <cols>
    <col min="1" max="1" width="70.5703125" customWidth="1"/>
    <col min="2" max="2" width="23.5703125" customWidth="1"/>
    <col min="3" max="3" width="26.7109375" customWidth="1"/>
    <col min="4" max="4" width="27.85546875" customWidth="1"/>
    <col min="5" max="5" width="28.85546875" customWidth="1"/>
    <col min="6" max="6" width="29.140625" customWidth="1"/>
    <col min="7" max="7" width="31" customWidth="1"/>
    <col min="8" max="8" width="27.42578125" customWidth="1"/>
    <col min="9" max="9" width="15.42578125" customWidth="1"/>
    <col min="10" max="10" width="23.42578125" customWidth="1"/>
    <col min="11" max="11" width="18.28515625" customWidth="1"/>
    <col min="12" max="12" width="14.140625" bestFit="1" customWidth="1"/>
    <col min="14" max="14" width="1.7109375" bestFit="1" customWidth="1"/>
    <col min="16" max="16" width="18.140625" bestFit="1" customWidth="1"/>
    <col min="17" max="17" width="18.5703125" bestFit="1" customWidth="1"/>
    <col min="18" max="18" width="47.42578125" bestFit="1" customWidth="1"/>
  </cols>
  <sheetData>
    <row r="1" spans="1:11" ht="26.25">
      <c r="A1" s="19" t="s">
        <v>1</v>
      </c>
      <c r="C1" s="19"/>
      <c r="D1" s="19"/>
      <c r="E1" s="8"/>
      <c r="F1" s="8"/>
      <c r="G1" s="8"/>
      <c r="H1" s="8"/>
      <c r="I1" s="8"/>
      <c r="J1" s="8"/>
      <c r="K1" s="8"/>
    </row>
    <row r="2" spans="1:11" ht="17.25">
      <c r="A2" s="20" t="s">
        <v>9</v>
      </c>
      <c r="C2" s="20"/>
      <c r="D2" s="20"/>
      <c r="E2" s="8"/>
      <c r="F2" s="8"/>
      <c r="G2" s="8"/>
      <c r="H2" s="8"/>
      <c r="I2" s="8"/>
      <c r="J2" s="8"/>
      <c r="K2" s="8"/>
    </row>
    <row r="3" spans="1:11" ht="16.5">
      <c r="A3" s="21" t="s">
        <v>457</v>
      </c>
      <c r="C3" s="21"/>
      <c r="D3" s="21"/>
      <c r="E3" s="8"/>
      <c r="F3" s="8"/>
      <c r="G3" s="8"/>
      <c r="H3" s="8"/>
      <c r="I3" s="8"/>
      <c r="J3" s="8"/>
      <c r="K3" s="8"/>
    </row>
    <row r="4" spans="1:11" ht="16.5">
      <c r="B4" s="21"/>
      <c r="C4" s="21"/>
      <c r="D4" s="21"/>
      <c r="E4" s="8"/>
      <c r="F4" s="8"/>
      <c r="G4" s="8"/>
      <c r="H4" s="8"/>
      <c r="I4" s="8"/>
      <c r="J4" s="8"/>
      <c r="K4" s="8"/>
    </row>
    <row r="5" spans="1:11" ht="16.5">
      <c r="B5" s="8"/>
      <c r="C5" s="8"/>
      <c r="D5" s="8"/>
      <c r="E5" s="8"/>
      <c r="F5" s="8"/>
      <c r="G5" s="8"/>
      <c r="H5" s="8"/>
      <c r="I5" s="479" t="s">
        <v>0</v>
      </c>
      <c r="J5" s="22"/>
      <c r="K5" s="8"/>
    </row>
    <row r="6" spans="1:11" ht="17.25" thickBot="1">
      <c r="B6" s="8"/>
      <c r="C6" s="8"/>
      <c r="D6" s="24"/>
      <c r="E6" s="24"/>
      <c r="F6" s="129"/>
      <c r="H6" s="8"/>
      <c r="I6" s="8"/>
      <c r="J6" s="8"/>
    </row>
    <row r="7" spans="1:11" ht="27" thickBot="1">
      <c r="A7" s="23" t="str">
        <f>+'S&amp;D'!A12</f>
        <v>Railroad Carriers</v>
      </c>
      <c r="C7" s="25"/>
      <c r="D7" s="25"/>
      <c r="E7" s="26" t="s">
        <v>235</v>
      </c>
      <c r="H7" s="8"/>
      <c r="I7" s="8"/>
      <c r="J7" s="8"/>
    </row>
    <row r="8" spans="1:11" ht="21" thickBot="1">
      <c r="B8" s="25"/>
      <c r="C8" s="25"/>
      <c r="D8" s="130"/>
      <c r="E8" s="31" t="s">
        <v>470</v>
      </c>
      <c r="F8" s="129"/>
      <c r="H8" s="8"/>
      <c r="I8" s="8"/>
    </row>
    <row r="9" spans="1:11" ht="20.25">
      <c r="B9" s="25"/>
      <c r="C9" s="25"/>
      <c r="D9" s="25"/>
      <c r="E9" s="29"/>
      <c r="H9" s="8"/>
      <c r="I9" s="8"/>
    </row>
    <row r="10" spans="1:11" ht="29.1" customHeight="1" thickBot="1">
      <c r="A10" s="130"/>
      <c r="B10" s="25"/>
      <c r="I10" s="8"/>
    </row>
    <row r="11" spans="1:11" ht="22.5" customHeight="1" thickBot="1">
      <c r="A11" s="141" t="s">
        <v>234</v>
      </c>
      <c r="B11" s="25"/>
      <c r="I11" s="8"/>
    </row>
    <row r="12" spans="1:11" ht="20.100000000000001" customHeight="1" thickBot="1">
      <c r="A12" s="140" t="s">
        <v>0</v>
      </c>
      <c r="B12" s="8"/>
      <c r="C12" s="8"/>
      <c r="D12" s="8"/>
      <c r="E12" s="8"/>
      <c r="F12" s="8"/>
      <c r="G12" s="8"/>
      <c r="H12" s="8"/>
      <c r="I12" s="8"/>
    </row>
    <row r="13" spans="1:11" ht="60.6" customHeight="1" thickBot="1">
      <c r="A13" s="185" t="s">
        <v>0</v>
      </c>
      <c r="B13" s="136" t="s">
        <v>283</v>
      </c>
      <c r="C13" s="136" t="s">
        <v>282</v>
      </c>
      <c r="D13" s="135" t="s">
        <v>216</v>
      </c>
      <c r="E13" s="136" t="s">
        <v>217</v>
      </c>
      <c r="F13" s="136" t="s">
        <v>252</v>
      </c>
      <c r="G13" s="136" t="s">
        <v>251</v>
      </c>
      <c r="H13" s="136" t="s">
        <v>218</v>
      </c>
    </row>
    <row r="14" spans="1:11" ht="16.5">
      <c r="A14" s="131"/>
      <c r="B14" s="178"/>
      <c r="C14" s="178"/>
      <c r="D14" s="100"/>
      <c r="E14" s="178"/>
      <c r="F14" s="178"/>
      <c r="G14" s="178"/>
      <c r="H14" s="178"/>
    </row>
    <row r="15" spans="1:11" ht="20.25">
      <c r="A15" s="139" t="str">
        <f>+A7</f>
        <v>Railroad Carriers</v>
      </c>
      <c r="B15" s="196"/>
      <c r="C15" s="196"/>
      <c r="D15" s="306"/>
      <c r="E15" s="196"/>
      <c r="F15" s="196">
        <f>+'Dividends '!K24</f>
        <v>7.7217345015989494E-2</v>
      </c>
      <c r="G15" s="196">
        <f>+Earnings!K24</f>
        <v>9.3541299792876814E-2</v>
      </c>
      <c r="H15" s="196"/>
    </row>
    <row r="16" spans="1:11" ht="21" thickBot="1">
      <c r="A16" s="133" t="s">
        <v>0</v>
      </c>
      <c r="B16" s="179" t="s">
        <v>0</v>
      </c>
      <c r="C16" s="179"/>
      <c r="D16" s="307"/>
      <c r="E16" s="179"/>
      <c r="F16" s="222">
        <f>+'Dividends '!K25</f>
        <v>7.7484078346184412E-2</v>
      </c>
      <c r="G16" s="222">
        <f>+Earnings!K25</f>
        <v>8.8755441674897004E-2</v>
      </c>
      <c r="H16" s="179"/>
    </row>
    <row r="17" spans="1:18" ht="57.95" customHeight="1" thickBot="1">
      <c r="A17" s="8"/>
      <c r="B17" s="8"/>
      <c r="C17" s="8"/>
      <c r="D17" s="8"/>
      <c r="E17" s="8"/>
      <c r="F17" s="8"/>
      <c r="G17" s="8"/>
      <c r="H17" s="8"/>
      <c r="I17" s="8"/>
    </row>
    <row r="18" spans="1:18" ht="24.95" customHeight="1" thickBot="1">
      <c r="A18" s="141" t="s">
        <v>441</v>
      </c>
      <c r="B18" s="8"/>
      <c r="C18" s="8"/>
      <c r="D18" s="404"/>
      <c r="E18" s="8"/>
      <c r="F18" s="8"/>
      <c r="G18" s="8"/>
      <c r="H18" s="8"/>
      <c r="I18" s="8"/>
    </row>
    <row r="19" spans="1:18" ht="20.100000000000001" customHeight="1">
      <c r="A19" s="8"/>
      <c r="B19" s="8"/>
      <c r="C19" s="8"/>
      <c r="D19" s="447" t="s">
        <v>441</v>
      </c>
      <c r="E19" s="8"/>
      <c r="F19" s="8"/>
      <c r="G19" s="8"/>
      <c r="H19" s="8"/>
      <c r="I19" s="8"/>
    </row>
    <row r="20" spans="1:18" ht="27.95" customHeight="1">
      <c r="A20" s="445"/>
      <c r="B20" s="401"/>
      <c r="C20" s="449" t="s">
        <v>461</v>
      </c>
      <c r="D20" s="441"/>
      <c r="E20" s="8"/>
      <c r="F20" s="8"/>
      <c r="G20" s="8"/>
      <c r="H20" s="8"/>
      <c r="I20" s="8"/>
    </row>
    <row r="21" spans="1:18" ht="27.95" customHeight="1">
      <c r="A21" s="349"/>
      <c r="C21" s="450" t="s">
        <v>442</v>
      </c>
      <c r="D21" s="442">
        <v>4.19E-2</v>
      </c>
      <c r="E21" s="8"/>
      <c r="F21" s="8"/>
      <c r="G21" s="8"/>
      <c r="H21" s="8"/>
      <c r="I21" s="8"/>
    </row>
    <row r="22" spans="1:18" ht="27" customHeight="1">
      <c r="A22" s="349"/>
      <c r="C22" s="450" t="s">
        <v>445</v>
      </c>
      <c r="D22" s="442">
        <v>4.8099999999999997E-2</v>
      </c>
      <c r="E22" s="8"/>
      <c r="F22" s="8"/>
      <c r="G22" s="8"/>
      <c r="H22" s="8"/>
      <c r="I22" s="8"/>
    </row>
    <row r="23" spans="1:18" ht="27" customHeight="1" thickBot="1">
      <c r="A23" s="349"/>
      <c r="C23" s="450" t="s">
        <v>443</v>
      </c>
      <c r="D23" s="442">
        <v>4.8599999999999997E-2</v>
      </c>
      <c r="E23" s="8"/>
      <c r="F23" s="8"/>
      <c r="G23" s="440" t="s">
        <v>452</v>
      </c>
      <c r="I23" s="8"/>
    </row>
    <row r="24" spans="1:18" ht="27" customHeight="1" thickBot="1">
      <c r="A24" s="349"/>
      <c r="B24" s="8"/>
      <c r="C24" s="451" t="s">
        <v>462</v>
      </c>
      <c r="D24" s="443"/>
      <c r="E24" s="8"/>
      <c r="F24" s="8"/>
      <c r="G24" s="454">
        <v>4.8099999999999997E-2</v>
      </c>
      <c r="H24" s="8"/>
      <c r="I24" s="8"/>
    </row>
    <row r="25" spans="1:18" ht="27" customHeight="1">
      <c r="A25" s="349"/>
      <c r="C25" s="450" t="s">
        <v>442</v>
      </c>
      <c r="D25" s="442">
        <v>4.1230000000000003E-2</v>
      </c>
      <c r="E25" s="8"/>
      <c r="F25" s="8"/>
      <c r="G25" s="8"/>
      <c r="H25" s="8"/>
      <c r="I25" s="8"/>
    </row>
    <row r="26" spans="1:18" ht="27" customHeight="1">
      <c r="A26" s="349"/>
      <c r="C26" s="450" t="s">
        <v>444</v>
      </c>
      <c r="D26" s="442">
        <v>0</v>
      </c>
      <c r="E26" s="8"/>
      <c r="F26" s="8"/>
      <c r="G26" s="8"/>
      <c r="H26" s="8"/>
      <c r="I26" s="8"/>
    </row>
    <row r="27" spans="1:18" ht="27" customHeight="1">
      <c r="A27" s="349"/>
      <c r="C27" s="450" t="s">
        <v>446</v>
      </c>
      <c r="D27" s="442">
        <v>4.8300000000000003E-2</v>
      </c>
      <c r="E27" s="8"/>
      <c r="F27" s="8"/>
      <c r="G27" s="8"/>
      <c r="H27" s="8"/>
      <c r="I27" s="8"/>
    </row>
    <row r="28" spans="1:18" ht="27" customHeight="1">
      <c r="A28" s="349"/>
      <c r="C28" s="448" t="s">
        <v>463</v>
      </c>
      <c r="D28" s="453">
        <v>4.1799999999999997E-2</v>
      </c>
      <c r="E28" s="8"/>
      <c r="F28" s="8"/>
      <c r="G28" s="8"/>
      <c r="H28" s="8"/>
      <c r="I28" s="8"/>
    </row>
    <row r="29" spans="1:18" ht="20.25">
      <c r="A29" s="446"/>
      <c r="B29" s="205"/>
      <c r="C29" s="452" t="s">
        <v>464</v>
      </c>
      <c r="D29" s="444">
        <v>4.7899999999999998E-2</v>
      </c>
      <c r="L29" s="8"/>
    </row>
    <row r="30" spans="1:18" ht="63.6" customHeight="1" thickBot="1">
      <c r="B30" s="8"/>
      <c r="C30" s="8"/>
      <c r="D30" s="24"/>
      <c r="E30" s="24"/>
      <c r="F30" s="24"/>
      <c r="G30" s="8"/>
      <c r="H30" s="8"/>
      <c r="I30" s="8"/>
      <c r="L30" s="8"/>
    </row>
    <row r="31" spans="1:18" ht="26.25">
      <c r="B31" s="25"/>
      <c r="C31" s="25"/>
      <c r="D31" s="8"/>
      <c r="E31" s="26" t="s">
        <v>201</v>
      </c>
      <c r="F31" s="8"/>
      <c r="G31" s="8"/>
      <c r="H31" s="8"/>
      <c r="I31" s="8"/>
      <c r="J31" s="434" t="s">
        <v>0</v>
      </c>
      <c r="K31" s="79"/>
      <c r="L31" s="79"/>
      <c r="M31" s="79"/>
      <c r="N31" s="79"/>
      <c r="O31" s="8"/>
      <c r="P31" s="8"/>
      <c r="Q31" s="8"/>
      <c r="R31" s="8"/>
    </row>
    <row r="32" spans="1:18" ht="21" thickBot="1">
      <c r="A32" s="129"/>
      <c r="B32" s="25"/>
      <c r="C32" s="25"/>
      <c r="D32" s="24"/>
      <c r="E32" s="31" t="s">
        <v>470</v>
      </c>
      <c r="F32" s="24"/>
      <c r="G32" s="8"/>
      <c r="H32" s="8"/>
      <c r="I32" s="8"/>
      <c r="J32" s="435"/>
      <c r="K32" s="436"/>
      <c r="L32" s="436"/>
      <c r="M32" s="79"/>
      <c r="N32" s="79"/>
      <c r="O32" s="8"/>
      <c r="P32" s="8"/>
      <c r="Q32" s="8"/>
      <c r="R32" s="8"/>
    </row>
    <row r="33" spans="1:18" ht="21" thickBot="1">
      <c r="A33" s="128" t="s">
        <v>416</v>
      </c>
      <c r="B33" s="25"/>
      <c r="C33" s="25"/>
      <c r="D33" s="29"/>
      <c r="E33" s="127"/>
      <c r="F33" s="8"/>
      <c r="G33" s="8"/>
      <c r="H33" s="8"/>
      <c r="I33" s="8"/>
      <c r="J33" s="435"/>
      <c r="K33" s="435"/>
      <c r="L33" s="435"/>
      <c r="M33" s="436"/>
      <c r="N33" s="480" t="s">
        <v>0</v>
      </c>
      <c r="O33" s="8"/>
      <c r="P33" s="8"/>
      <c r="Q33" s="8"/>
      <c r="R33" s="8"/>
    </row>
    <row r="34" spans="1:18" ht="18.75">
      <c r="A34" s="35" t="s">
        <v>0</v>
      </c>
      <c r="B34" s="35"/>
      <c r="C34" s="35"/>
      <c r="D34" s="35" t="s">
        <v>0</v>
      </c>
      <c r="E34" s="35" t="s">
        <v>0</v>
      </c>
      <c r="F34" s="35" t="s">
        <v>0</v>
      </c>
      <c r="G34" s="35"/>
      <c r="H34" s="8"/>
      <c r="I34" s="8"/>
      <c r="J34" s="435"/>
      <c r="K34" s="437"/>
      <c r="L34" s="435"/>
      <c r="M34" s="436"/>
      <c r="N34" s="79"/>
      <c r="O34" s="8"/>
      <c r="P34" s="8"/>
      <c r="Q34" s="8"/>
      <c r="R34" s="8"/>
    </row>
    <row r="35" spans="1:18" ht="20.25">
      <c r="A35" s="29" t="s">
        <v>0</v>
      </c>
      <c r="B35" s="29"/>
      <c r="C35" s="29"/>
      <c r="D35" s="388" t="s">
        <v>78</v>
      </c>
      <c r="E35" s="388" t="s">
        <v>236</v>
      </c>
      <c r="F35" s="388" t="s">
        <v>122</v>
      </c>
      <c r="G35" s="219"/>
      <c r="H35" s="8"/>
      <c r="I35" s="8"/>
      <c r="J35" s="435"/>
      <c r="K35" s="435"/>
      <c r="L35" s="435"/>
      <c r="M35" s="436"/>
      <c r="N35" s="79"/>
      <c r="O35" s="8"/>
      <c r="P35" s="8"/>
      <c r="Q35" s="8"/>
      <c r="R35" s="8"/>
    </row>
    <row r="36" spans="1:18" ht="20.25">
      <c r="A36" s="460" t="s">
        <v>120</v>
      </c>
      <c r="B36" s="461"/>
      <c r="C36" s="462"/>
      <c r="D36" s="389" t="s">
        <v>80</v>
      </c>
      <c r="E36" s="389" t="s">
        <v>121</v>
      </c>
      <c r="F36" s="389" t="s">
        <v>123</v>
      </c>
      <c r="G36" s="219"/>
      <c r="H36" s="8"/>
      <c r="I36" s="8"/>
      <c r="J36" s="436"/>
      <c r="K36" s="436"/>
      <c r="L36" s="438"/>
      <c r="M36" s="436"/>
      <c r="N36" s="79"/>
      <c r="O36" s="8"/>
      <c r="P36" s="8"/>
      <c r="Q36" s="8"/>
      <c r="R36" s="8"/>
    </row>
    <row r="37" spans="1:18" ht="18.75">
      <c r="H37" s="421"/>
      <c r="J37" s="436"/>
      <c r="K37" s="436"/>
      <c r="L37" s="79"/>
      <c r="M37" s="79"/>
      <c r="N37" s="79"/>
      <c r="O37" s="8"/>
      <c r="P37" s="8"/>
      <c r="Q37" s="8"/>
      <c r="R37" s="8"/>
    </row>
    <row r="38" spans="1:18" ht="20.25">
      <c r="A38" s="390" t="s">
        <v>237</v>
      </c>
      <c r="B38" s="142"/>
      <c r="C38" s="174"/>
      <c r="D38" s="391">
        <v>2.2499999999999999E-2</v>
      </c>
      <c r="E38" s="422" t="s">
        <v>440</v>
      </c>
      <c r="F38" s="422" t="s">
        <v>440</v>
      </c>
      <c r="H38" s="421" t="s">
        <v>0</v>
      </c>
      <c r="J38" s="420"/>
      <c r="K38" s="436"/>
      <c r="L38" s="436"/>
      <c r="M38" s="79"/>
      <c r="N38" s="79"/>
      <c r="O38" s="8"/>
      <c r="P38" s="8"/>
      <c r="Q38" s="8"/>
      <c r="R38" s="8"/>
    </row>
    <row r="39" spans="1:18" ht="20.25">
      <c r="A39" s="392" t="s">
        <v>238</v>
      </c>
      <c r="B39" s="56"/>
      <c r="C39" s="175"/>
      <c r="D39" s="393">
        <v>2.4199999999999999E-2</v>
      </c>
      <c r="E39" s="423" t="s">
        <v>440</v>
      </c>
      <c r="F39" s="423" t="s">
        <v>440</v>
      </c>
      <c r="H39" s="25" t="s">
        <v>0</v>
      </c>
      <c r="I39" s="8"/>
      <c r="J39" s="420"/>
      <c r="K39" s="436"/>
      <c r="L39" s="436"/>
      <c r="M39" s="79"/>
      <c r="N39" s="79"/>
      <c r="O39" s="8"/>
      <c r="P39" s="8"/>
      <c r="Q39" s="8"/>
      <c r="R39" s="8"/>
    </row>
    <row r="40" spans="1:18" ht="20.25">
      <c r="A40" s="394" t="s">
        <v>239</v>
      </c>
      <c r="B40" s="143"/>
      <c r="C40" s="176"/>
      <c r="D40" s="395">
        <v>2.23E-2</v>
      </c>
      <c r="E40" s="424" t="s">
        <v>440</v>
      </c>
      <c r="F40" s="424" t="s">
        <v>440</v>
      </c>
      <c r="H40" s="111" t="s">
        <v>0</v>
      </c>
      <c r="I40" s="8"/>
      <c r="J40" s="420"/>
      <c r="K40" s="436"/>
      <c r="L40" s="436"/>
      <c r="M40" s="79"/>
      <c r="N40" s="79"/>
      <c r="O40" s="8"/>
      <c r="P40" s="8"/>
      <c r="Q40" s="8"/>
      <c r="R40" s="8"/>
    </row>
    <row r="41" spans="1:18" ht="20.25">
      <c r="A41" s="392" t="s">
        <v>240</v>
      </c>
      <c r="B41" s="56"/>
      <c r="C41" s="175"/>
      <c r="D41" s="396">
        <v>2.29E-2</v>
      </c>
      <c r="E41" s="396">
        <v>2.01E-2</v>
      </c>
      <c r="F41" s="393">
        <f t="shared" ref="F41:F49" si="0">+D41+E41</f>
        <v>4.2999999999999997E-2</v>
      </c>
      <c r="H41" s="8" t="s">
        <v>0</v>
      </c>
      <c r="I41" s="8"/>
      <c r="J41" s="420"/>
      <c r="K41" s="436"/>
      <c r="L41" s="436"/>
      <c r="M41" s="79"/>
      <c r="N41" s="79"/>
      <c r="O41" s="8"/>
      <c r="P41" s="8"/>
      <c r="Q41" s="8"/>
      <c r="R41" s="8"/>
    </row>
    <row r="42" spans="1:18" ht="20.25">
      <c r="A42" s="392" t="s">
        <v>417</v>
      </c>
      <c r="B42" s="56"/>
      <c r="C42" s="175"/>
      <c r="D42" s="396">
        <v>2.4E-2</v>
      </c>
      <c r="E42" s="396">
        <v>0.02</v>
      </c>
      <c r="F42" s="393">
        <f t="shared" si="0"/>
        <v>4.3999999999999997E-2</v>
      </c>
      <c r="H42" s="8"/>
      <c r="I42" s="8"/>
      <c r="J42" s="420"/>
      <c r="K42" s="436"/>
      <c r="L42" s="79"/>
      <c r="M42" s="79"/>
      <c r="N42" s="79"/>
      <c r="O42" s="8"/>
      <c r="P42" s="8"/>
      <c r="Q42" s="8"/>
      <c r="R42" s="8"/>
    </row>
    <row r="43" spans="1:18" ht="20.25">
      <c r="A43" s="394" t="s">
        <v>418</v>
      </c>
      <c r="B43" s="143"/>
      <c r="C43" s="176"/>
      <c r="D43" s="397">
        <v>2.3400000000000001E-2</v>
      </c>
      <c r="E43" s="397">
        <v>2.1000000000000001E-2</v>
      </c>
      <c r="F43" s="395">
        <f t="shared" si="0"/>
        <v>4.4400000000000002E-2</v>
      </c>
      <c r="H43" s="8"/>
      <c r="I43" s="8"/>
      <c r="J43" s="420"/>
      <c r="K43" s="436"/>
      <c r="L43" s="79"/>
      <c r="M43" s="79"/>
      <c r="N43" s="79"/>
      <c r="O43" s="8"/>
      <c r="P43" s="8"/>
      <c r="Q43" s="8"/>
      <c r="R43" s="8"/>
    </row>
    <row r="44" spans="1:18" ht="20.25">
      <c r="A44" s="392" t="s">
        <v>419</v>
      </c>
      <c r="B44" s="56"/>
      <c r="C44" s="175"/>
      <c r="D44" s="393">
        <v>2.3E-2</v>
      </c>
      <c r="E44" s="396">
        <v>1.7999999999999999E-2</v>
      </c>
      <c r="F44" s="393">
        <f t="shared" si="0"/>
        <v>4.0999999999999995E-2</v>
      </c>
      <c r="H44" s="110" t="s">
        <v>0</v>
      </c>
      <c r="I44" s="8"/>
      <c r="J44" s="420"/>
      <c r="K44" s="436"/>
      <c r="L44" s="79"/>
      <c r="M44" s="79"/>
      <c r="N44" s="79"/>
      <c r="O44" s="8"/>
      <c r="P44" s="8"/>
      <c r="Q44" s="8"/>
      <c r="R44" s="8"/>
    </row>
    <row r="45" spans="1:18" ht="20.25">
      <c r="A45" s="392" t="s">
        <v>420</v>
      </c>
      <c r="B45" s="56"/>
      <c r="C45" s="175"/>
      <c r="D45" s="393">
        <v>2.3E-2</v>
      </c>
      <c r="E45" s="396">
        <v>2.1000000000000001E-2</v>
      </c>
      <c r="F45" s="393">
        <f t="shared" si="0"/>
        <v>4.3999999999999997E-2</v>
      </c>
      <c r="H45" s="110" t="s">
        <v>0</v>
      </c>
      <c r="I45" s="8"/>
      <c r="J45" s="420"/>
      <c r="K45" s="436"/>
      <c r="L45" s="79"/>
      <c r="M45" s="79"/>
      <c r="N45" s="79"/>
      <c r="O45" s="8"/>
      <c r="P45" s="8"/>
      <c r="Q45" s="8"/>
      <c r="R45" s="8"/>
    </row>
    <row r="46" spans="1:18" ht="20.25">
      <c r="A46" s="394" t="s">
        <v>421</v>
      </c>
      <c r="B46" s="143"/>
      <c r="C46" s="176"/>
      <c r="D46" s="395">
        <v>2.3E-2</v>
      </c>
      <c r="E46" s="397">
        <v>1.9E-2</v>
      </c>
      <c r="F46" s="395">
        <f t="shared" si="0"/>
        <v>4.1999999999999996E-2</v>
      </c>
      <c r="H46" s="8"/>
      <c r="I46" s="8"/>
      <c r="J46" s="420"/>
      <c r="K46" s="436"/>
      <c r="L46" s="79"/>
      <c r="M46" s="79"/>
      <c r="N46" s="79"/>
      <c r="O46" s="8"/>
      <c r="P46" s="8"/>
      <c r="Q46" s="8"/>
      <c r="R46" s="8"/>
    </row>
    <row r="47" spans="1:18" ht="20.25">
      <c r="A47" s="392" t="s">
        <v>422</v>
      </c>
      <c r="B47" s="56"/>
      <c r="C47" s="175"/>
      <c r="D47" s="393">
        <v>2.3E-2</v>
      </c>
      <c r="E47" s="396">
        <v>2.1000000000000001E-2</v>
      </c>
      <c r="F47" s="393">
        <f t="shared" si="0"/>
        <v>4.3999999999999997E-2</v>
      </c>
      <c r="H47" s="8"/>
      <c r="I47" s="8"/>
      <c r="J47" s="420"/>
      <c r="K47" s="436"/>
      <c r="L47" s="79"/>
      <c r="M47" s="79"/>
      <c r="N47" s="79"/>
      <c r="O47" s="8"/>
      <c r="P47" s="8"/>
      <c r="Q47" s="8"/>
      <c r="R47" s="8"/>
    </row>
    <row r="48" spans="1:18" ht="20.25">
      <c r="A48" s="392" t="s">
        <v>423</v>
      </c>
      <c r="B48" s="56"/>
      <c r="C48" s="175"/>
      <c r="D48" s="423" t="s">
        <v>440</v>
      </c>
      <c r="E48" s="396">
        <v>2.1999999999999999E-2</v>
      </c>
      <c r="F48" s="423" t="s">
        <v>440</v>
      </c>
      <c r="H48" s="8"/>
      <c r="I48" s="8"/>
      <c r="J48" s="420"/>
      <c r="K48" s="436"/>
      <c r="L48" s="79"/>
      <c r="M48" s="79"/>
      <c r="N48" s="79"/>
      <c r="O48" s="8"/>
      <c r="P48" s="8"/>
      <c r="Q48" s="8"/>
      <c r="R48" s="8"/>
    </row>
    <row r="49" spans="1:18" ht="20.25">
      <c r="A49" s="394" t="s">
        <v>424</v>
      </c>
      <c r="B49" s="143"/>
      <c r="C49" s="176"/>
      <c r="D49" s="395">
        <v>0.02</v>
      </c>
      <c r="E49" s="395">
        <v>1.7999999999999999E-2</v>
      </c>
      <c r="F49" s="395">
        <f t="shared" si="0"/>
        <v>3.7999999999999999E-2</v>
      </c>
      <c r="H49" s="8"/>
      <c r="I49" s="8"/>
      <c r="J49" s="420"/>
      <c r="K49" s="439"/>
      <c r="L49" s="79"/>
      <c r="M49" s="79"/>
      <c r="N49" s="79"/>
      <c r="O49" s="8"/>
      <c r="P49" s="8"/>
      <c r="Q49" s="8"/>
      <c r="R49" s="8"/>
    </row>
    <row r="50" spans="1:18" ht="20.25">
      <c r="A50" s="98"/>
      <c r="B50" s="106"/>
      <c r="C50" s="106" t="s">
        <v>46</v>
      </c>
      <c r="D50" s="398">
        <f>MAX(D38:D49)</f>
        <v>2.4199999999999999E-2</v>
      </c>
      <c r="E50" s="398">
        <f>MAX(E38:E49)</f>
        <v>2.1999999999999999E-2</v>
      </c>
      <c r="F50" s="398">
        <f>MAX(F38:F49)</f>
        <v>4.4400000000000002E-2</v>
      </c>
      <c r="G50" s="220"/>
      <c r="H50" s="8"/>
      <c r="I50" s="8"/>
      <c r="L50" s="8"/>
      <c r="M50" s="8"/>
      <c r="N50" s="8"/>
      <c r="Q50" s="8"/>
      <c r="R50" s="8"/>
    </row>
    <row r="51" spans="1:18" ht="18.75" customHeight="1">
      <c r="A51" s="98"/>
      <c r="B51" s="106"/>
      <c r="C51" s="106" t="s">
        <v>47</v>
      </c>
      <c r="D51" s="398">
        <f>MIN(D38:D49)</f>
        <v>0.02</v>
      </c>
      <c r="E51" s="398">
        <f>MIN(E38:E49)</f>
        <v>1.7999999999999999E-2</v>
      </c>
      <c r="F51" s="399">
        <f>MIN(F38:F49)</f>
        <v>3.7999999999999999E-2</v>
      </c>
      <c r="G51" s="221"/>
      <c r="H51" s="8"/>
      <c r="I51" s="8"/>
      <c r="L51" s="8"/>
      <c r="M51" s="8"/>
      <c r="N51" s="8"/>
      <c r="O51" s="8"/>
      <c r="R51" s="8"/>
    </row>
    <row r="52" spans="1:18" ht="20.25">
      <c r="A52" s="98"/>
      <c r="B52" s="106"/>
      <c r="C52" s="106" t="s">
        <v>18</v>
      </c>
      <c r="D52" s="400">
        <f>MEDIAN(D38:D49)</f>
        <v>2.3E-2</v>
      </c>
      <c r="E52" s="400">
        <f>MEDIAN(E38:E49)</f>
        <v>2.01E-2</v>
      </c>
      <c r="F52" s="393">
        <f t="shared" ref="F52:F53" si="1">+D52+E52</f>
        <v>4.3099999999999999E-2</v>
      </c>
      <c r="G52" s="221"/>
      <c r="H52" s="8"/>
      <c r="I52" s="8"/>
      <c r="L52" s="8"/>
      <c r="M52" s="8"/>
      <c r="N52" s="8"/>
      <c r="O52" s="8"/>
      <c r="R52" s="8"/>
    </row>
    <row r="53" spans="1:18" ht="20.25">
      <c r="A53" s="98"/>
      <c r="B53" s="106"/>
      <c r="C53" s="106" t="s">
        <v>19</v>
      </c>
      <c r="D53" s="397">
        <f>AVERAGE(D38:D49)</f>
        <v>2.2845454545454544E-2</v>
      </c>
      <c r="E53" s="397">
        <f>AVERAGE(E38:E49)</f>
        <v>2.0011111111111108E-2</v>
      </c>
      <c r="F53" s="395">
        <f t="shared" si="1"/>
        <v>4.2856565656565648E-2</v>
      </c>
      <c r="G53" s="220"/>
      <c r="H53" s="8"/>
      <c r="I53" s="8"/>
      <c r="L53" s="8"/>
      <c r="M53" s="8"/>
      <c r="N53" s="8"/>
      <c r="O53" s="8"/>
      <c r="R53" s="8"/>
    </row>
    <row r="54" spans="1:18" ht="18.75">
      <c r="A54" s="8"/>
      <c r="B54" s="10"/>
      <c r="D54" s="188"/>
      <c r="E54" s="188"/>
      <c r="F54" s="188"/>
      <c r="G54" s="220"/>
      <c r="H54" s="8"/>
      <c r="I54" s="8"/>
      <c r="L54" s="8"/>
      <c r="M54" s="8"/>
      <c r="N54" s="8"/>
      <c r="O54" s="8"/>
    </row>
    <row r="55" spans="1:18" ht="16.5" customHeight="1" thickBot="1">
      <c r="A55" s="8"/>
      <c r="B55" s="10"/>
      <c r="D55" s="188"/>
      <c r="E55" s="188"/>
      <c r="F55" s="188"/>
      <c r="L55" s="8"/>
      <c r="M55" s="8"/>
      <c r="N55" s="8"/>
      <c r="O55" s="8"/>
    </row>
    <row r="56" spans="1:18" ht="27" thickBot="1">
      <c r="A56" s="8"/>
      <c r="B56" s="111"/>
      <c r="C56" s="43" t="s">
        <v>202</v>
      </c>
      <c r="D56" s="454">
        <v>2.2800000000000001E-2</v>
      </c>
      <c r="E56" s="454">
        <v>0.02</v>
      </c>
      <c r="F56" s="455">
        <v>4.2900000000000001E-2</v>
      </c>
      <c r="L56" s="8"/>
      <c r="M56" s="8"/>
      <c r="N56" s="8"/>
      <c r="O56" s="8"/>
    </row>
    <row r="57" spans="1:18" ht="16.5" customHeight="1">
      <c r="L57" s="8"/>
      <c r="N57" s="8"/>
    </row>
    <row r="58" spans="1:18" ht="16.5">
      <c r="A58" s="8"/>
      <c r="B58" s="8"/>
      <c r="C58" s="8"/>
      <c r="D58" s="8"/>
      <c r="E58" s="8"/>
      <c r="F58" s="8"/>
      <c r="G58" s="8"/>
      <c r="I58" s="8"/>
      <c r="L58" s="8"/>
      <c r="N58" s="8"/>
    </row>
    <row r="59" spans="1:18" ht="19.5" customHeight="1">
      <c r="A59" s="425" t="s">
        <v>425</v>
      </c>
      <c r="B59" s="401"/>
      <c r="C59" s="402"/>
      <c r="D59" s="8"/>
      <c r="E59" s="8"/>
      <c r="F59" s="8"/>
      <c r="I59" s="8"/>
      <c r="L59" s="8"/>
      <c r="M59" s="8"/>
      <c r="N59" s="8"/>
    </row>
    <row r="60" spans="1:18" ht="19.5" customHeight="1">
      <c r="A60" s="425" t="s">
        <v>480</v>
      </c>
      <c r="B60" s="401"/>
      <c r="C60" s="401"/>
      <c r="D60" s="401"/>
      <c r="E60" s="401"/>
      <c r="F60" s="401"/>
      <c r="G60" s="426"/>
      <c r="I60" s="8"/>
      <c r="L60" s="8"/>
      <c r="M60" s="8"/>
      <c r="N60" s="8"/>
    </row>
    <row r="61" spans="1:18" ht="19.5" customHeight="1">
      <c r="A61" s="427" t="s">
        <v>481</v>
      </c>
      <c r="B61" s="8"/>
      <c r="C61" s="8"/>
      <c r="D61" s="8"/>
      <c r="E61" s="8"/>
      <c r="F61" s="8"/>
      <c r="G61" s="428"/>
      <c r="I61" s="8"/>
      <c r="L61" s="8"/>
      <c r="M61" s="8"/>
      <c r="N61" s="8"/>
      <c r="O61" s="289"/>
    </row>
    <row r="62" spans="1:18" ht="19.5" customHeight="1">
      <c r="A62" s="427" t="s">
        <v>482</v>
      </c>
      <c r="B62" s="8"/>
      <c r="C62" s="8"/>
      <c r="D62" s="8"/>
      <c r="E62" s="8"/>
      <c r="F62" s="8"/>
      <c r="G62" s="428"/>
      <c r="I62" s="8"/>
      <c r="L62" s="8"/>
      <c r="M62" s="8"/>
      <c r="N62" s="8"/>
      <c r="O62" s="289"/>
      <c r="P62" s="79"/>
      <c r="Q62" s="8"/>
      <c r="R62" s="8"/>
    </row>
    <row r="63" spans="1:18" ht="19.5" customHeight="1">
      <c r="A63" s="429" t="s">
        <v>483</v>
      </c>
      <c r="B63" s="404"/>
      <c r="C63" s="404"/>
      <c r="D63" s="404"/>
      <c r="E63" s="404"/>
      <c r="F63" s="404"/>
      <c r="G63" s="430"/>
      <c r="I63" s="8"/>
      <c r="L63" s="8"/>
      <c r="M63" s="8"/>
      <c r="N63" s="8"/>
      <c r="O63" s="289"/>
      <c r="P63" s="79"/>
      <c r="Q63" s="8"/>
      <c r="R63" s="8"/>
    </row>
    <row r="64" spans="1:18" ht="17.25">
      <c r="A64" s="98"/>
      <c r="B64" s="8"/>
      <c r="C64" s="8"/>
      <c r="D64" s="8"/>
      <c r="E64" s="8"/>
      <c r="F64" s="8"/>
      <c r="I64" s="8"/>
      <c r="L64" s="8"/>
      <c r="M64" s="8"/>
      <c r="N64" s="8"/>
      <c r="O64" s="8"/>
      <c r="P64" s="8"/>
      <c r="Q64" s="8"/>
      <c r="R64" s="8"/>
    </row>
    <row r="65" spans="1:18" ht="15.6" customHeight="1">
      <c r="A65" s="431" t="s">
        <v>241</v>
      </c>
      <c r="B65" s="406"/>
      <c r="C65" s="401"/>
      <c r="D65" s="401"/>
      <c r="E65" s="401"/>
      <c r="F65" s="402"/>
      <c r="G65" s="8"/>
      <c r="I65" s="8"/>
      <c r="L65" s="8"/>
      <c r="M65" s="8"/>
      <c r="N65" s="8"/>
      <c r="O65" s="8"/>
      <c r="P65" s="8"/>
      <c r="Q65" s="8"/>
      <c r="R65" s="8"/>
    </row>
    <row r="66" spans="1:18" ht="15.6" customHeight="1">
      <c r="A66" s="432" t="s">
        <v>426</v>
      </c>
      <c r="B66" s="8"/>
      <c r="C66" s="8"/>
      <c r="E66" s="8"/>
      <c r="F66" s="403"/>
      <c r="G66" s="8"/>
      <c r="I66" s="8"/>
      <c r="L66" s="8"/>
      <c r="M66" s="8"/>
      <c r="N66" s="8"/>
      <c r="O66" s="8"/>
      <c r="P66" s="8"/>
      <c r="Q66" s="8"/>
      <c r="R66" s="8"/>
    </row>
    <row r="67" spans="1:18" ht="15.6" customHeight="1">
      <c r="A67" s="433" t="s">
        <v>242</v>
      </c>
      <c r="B67" s="404"/>
      <c r="C67" s="404"/>
      <c r="D67" s="404"/>
      <c r="E67" s="404"/>
      <c r="F67" s="405"/>
      <c r="G67" s="8"/>
      <c r="I67" s="8" t="s">
        <v>0</v>
      </c>
      <c r="L67" s="8"/>
      <c r="M67" s="8"/>
      <c r="N67" s="8"/>
      <c r="O67" s="8"/>
      <c r="P67" s="8"/>
      <c r="Q67" s="8"/>
      <c r="R67" s="8"/>
    </row>
    <row r="68" spans="1:18" ht="16.5">
      <c r="A68" s="354"/>
      <c r="B68" s="8"/>
      <c r="C68" s="8"/>
      <c r="D68" s="8"/>
      <c r="E68" s="8"/>
      <c r="F68" s="8"/>
      <c r="G68" s="8"/>
      <c r="I68" s="8"/>
      <c r="L68" s="8"/>
      <c r="M68" s="8"/>
      <c r="N68" s="8"/>
      <c r="O68" s="8"/>
      <c r="P68" s="8"/>
      <c r="Q68" s="8"/>
      <c r="R68" s="8"/>
    </row>
    <row r="69" spans="1:18" ht="17.25">
      <c r="A69" s="125" t="s">
        <v>427</v>
      </c>
      <c r="B69" s="113"/>
      <c r="C69" s="113"/>
      <c r="D69" s="113"/>
      <c r="E69" s="114"/>
      <c r="F69" s="113"/>
      <c r="G69" s="113"/>
      <c r="H69" s="113"/>
      <c r="I69" s="8"/>
      <c r="L69" s="8"/>
      <c r="M69" s="8"/>
      <c r="N69" s="8"/>
      <c r="O69" s="8"/>
      <c r="P69" s="8"/>
      <c r="Q69" s="8"/>
      <c r="R69" s="8"/>
    </row>
    <row r="70" spans="1:18" ht="17.25">
      <c r="A70" s="125"/>
      <c r="B70" s="113"/>
      <c r="C70" s="113"/>
      <c r="D70" s="113"/>
      <c r="E70" s="114"/>
      <c r="F70" s="113"/>
      <c r="G70" s="113"/>
      <c r="H70" s="113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ht="16.5">
      <c r="A71" s="407" t="s">
        <v>428</v>
      </c>
      <c r="B71" s="113"/>
      <c r="C71" s="113"/>
      <c r="D71" s="113"/>
      <c r="E71" s="114"/>
      <c r="F71" s="113"/>
      <c r="G71" s="113"/>
      <c r="H71" s="113"/>
      <c r="I71" s="8"/>
    </row>
    <row r="72" spans="1:18" ht="16.5">
      <c r="A72" s="408" t="s">
        <v>484</v>
      </c>
      <c r="B72" s="113"/>
      <c r="C72" s="113"/>
      <c r="D72" s="113"/>
      <c r="E72" s="114"/>
      <c r="F72" s="113"/>
      <c r="G72" s="113"/>
      <c r="H72" s="113"/>
      <c r="I72" s="8"/>
    </row>
    <row r="73" spans="1:18" ht="16.5">
      <c r="A73" s="414" t="s">
        <v>348</v>
      </c>
      <c r="B73" s="410"/>
      <c r="C73" s="113"/>
      <c r="D73" s="113"/>
      <c r="E73" s="114"/>
      <c r="F73" s="113"/>
      <c r="G73" s="113"/>
      <c r="H73" s="113"/>
      <c r="I73" s="8"/>
    </row>
    <row r="74" spans="1:18" ht="16.5">
      <c r="A74" s="414" t="s">
        <v>492</v>
      </c>
      <c r="B74" s="113"/>
      <c r="C74" s="113"/>
      <c r="D74" s="113"/>
      <c r="E74" s="114"/>
      <c r="F74" s="113"/>
      <c r="G74" s="113"/>
      <c r="H74" s="113"/>
      <c r="I74" s="8"/>
    </row>
    <row r="75" spans="1:18">
      <c r="A75" s="414"/>
    </row>
    <row r="76" spans="1:18" ht="16.5">
      <c r="A76" s="407" t="s">
        <v>429</v>
      </c>
    </row>
    <row r="77" spans="1:18">
      <c r="A77" s="411" t="s">
        <v>473</v>
      </c>
    </row>
    <row r="78" spans="1:18" ht="16.5">
      <c r="A78" s="411" t="s">
        <v>474</v>
      </c>
      <c r="B78" s="383"/>
    </row>
    <row r="79" spans="1:18" ht="16.5">
      <c r="A79" s="459" t="s">
        <v>140</v>
      </c>
      <c r="B79" s="113"/>
      <c r="C79" s="113"/>
      <c r="D79" s="113"/>
      <c r="E79" s="114"/>
      <c r="F79" s="113"/>
      <c r="G79" s="113"/>
      <c r="H79" s="113"/>
      <c r="I79" s="8"/>
    </row>
    <row r="80" spans="1:18" ht="16.5">
      <c r="A80" s="112"/>
      <c r="B80" s="113"/>
      <c r="C80" s="113"/>
      <c r="D80" s="113"/>
      <c r="E80" s="114"/>
      <c r="F80" s="113"/>
      <c r="G80" s="113"/>
      <c r="H80" s="113"/>
      <c r="I80" s="8"/>
    </row>
    <row r="81" spans="1:9" ht="16.5">
      <c r="A81" s="407" t="s">
        <v>430</v>
      </c>
      <c r="B81" s="113"/>
      <c r="C81" s="113"/>
      <c r="D81" s="113"/>
      <c r="E81" s="114"/>
      <c r="F81" s="113"/>
      <c r="G81" s="113"/>
      <c r="H81" s="113"/>
      <c r="I81" s="8"/>
    </row>
    <row r="82" spans="1:9" ht="16.5">
      <c r="A82" s="411" t="s">
        <v>465</v>
      </c>
      <c r="B82" s="410"/>
      <c r="C82" s="410"/>
      <c r="D82" s="113"/>
      <c r="E82" s="114"/>
      <c r="F82" s="113"/>
      <c r="G82" s="113"/>
      <c r="H82" s="113"/>
      <c r="I82" s="8"/>
    </row>
    <row r="83" spans="1:9" ht="16.5">
      <c r="A83" s="459" t="s">
        <v>141</v>
      </c>
      <c r="B83" s="113"/>
      <c r="C83" s="113"/>
      <c r="D83" s="113"/>
      <c r="E83" s="114"/>
      <c r="F83" s="113"/>
      <c r="G83" s="113"/>
      <c r="H83" s="113"/>
      <c r="I83" s="8"/>
    </row>
    <row r="84" spans="1:9" ht="16.5">
      <c r="A84" s="414"/>
      <c r="B84" s="113"/>
      <c r="C84" s="113"/>
      <c r="D84" s="113"/>
      <c r="E84" s="114"/>
      <c r="F84" s="113"/>
      <c r="G84" s="113"/>
      <c r="H84" s="113"/>
      <c r="I84" s="8"/>
    </row>
    <row r="85" spans="1:9" ht="16.5">
      <c r="A85" s="407" t="s">
        <v>431</v>
      </c>
      <c r="B85" s="113"/>
      <c r="D85" s="113" t="s">
        <v>0</v>
      </c>
      <c r="E85" s="114"/>
      <c r="F85" s="113"/>
      <c r="G85" s="113"/>
      <c r="H85" s="113"/>
      <c r="I85" s="8"/>
    </row>
    <row r="86" spans="1:9" ht="16.5">
      <c r="A86" s="415" t="s">
        <v>466</v>
      </c>
      <c r="G86" s="113"/>
      <c r="H86" s="113"/>
      <c r="I86" s="113"/>
    </row>
    <row r="87" spans="1:9" ht="16.5">
      <c r="A87" s="409" t="s">
        <v>432</v>
      </c>
      <c r="C87" s="113"/>
      <c r="E87" s="114"/>
      <c r="F87" s="113"/>
      <c r="G87" s="113"/>
      <c r="H87" s="113"/>
      <c r="I87" s="8"/>
    </row>
    <row r="88" spans="1:9" ht="16.5">
      <c r="A88" s="413" t="s">
        <v>467</v>
      </c>
      <c r="B88" s="413"/>
      <c r="C88" s="113"/>
      <c r="D88" s="413"/>
      <c r="E88" s="114"/>
      <c r="F88" s="113"/>
      <c r="G88" s="113"/>
      <c r="H88" s="113"/>
      <c r="I88" s="8"/>
    </row>
    <row r="89" spans="1:9" ht="16.5">
      <c r="A89" s="459" t="s">
        <v>468</v>
      </c>
      <c r="B89" s="413"/>
      <c r="C89" s="113"/>
      <c r="D89" s="413"/>
      <c r="E89" s="114"/>
      <c r="F89" s="113"/>
      <c r="G89" s="113"/>
      <c r="H89" s="113"/>
      <c r="I89" s="8"/>
    </row>
    <row r="90" spans="1:9" ht="16.5">
      <c r="A90" s="459" t="s">
        <v>433</v>
      </c>
      <c r="B90" s="113"/>
      <c r="C90" s="113"/>
      <c r="D90" s="113"/>
      <c r="E90" s="114"/>
      <c r="F90" s="113"/>
      <c r="G90" s="113"/>
      <c r="H90" s="113"/>
      <c r="I90" s="8"/>
    </row>
    <row r="91" spans="1:9" ht="16.5">
      <c r="A91" s="414"/>
      <c r="B91" s="113"/>
      <c r="D91" s="113"/>
      <c r="E91" s="114"/>
      <c r="F91" s="113"/>
      <c r="G91" s="113"/>
      <c r="H91" s="113"/>
      <c r="I91" s="8"/>
    </row>
    <row r="92" spans="1:9" ht="16.5">
      <c r="A92" s="407" t="s">
        <v>434</v>
      </c>
      <c r="B92" s="113"/>
      <c r="D92" s="113"/>
      <c r="E92" s="114"/>
      <c r="F92" s="113"/>
      <c r="G92" s="113"/>
      <c r="H92" s="113"/>
      <c r="I92" s="8"/>
    </row>
    <row r="93" spans="1:9" ht="16.5">
      <c r="A93" s="411" t="s">
        <v>469</v>
      </c>
      <c r="B93" s="113"/>
      <c r="D93" s="113"/>
      <c r="E93" s="114"/>
      <c r="F93" s="113"/>
      <c r="G93" s="113"/>
      <c r="H93" s="113"/>
      <c r="I93" s="8"/>
    </row>
    <row r="94" spans="1:9" ht="16.5">
      <c r="A94" s="459" t="s">
        <v>435</v>
      </c>
      <c r="B94" s="113"/>
      <c r="C94" s="113"/>
      <c r="D94" s="113"/>
      <c r="E94" s="114"/>
      <c r="F94" s="113"/>
      <c r="G94" s="113"/>
      <c r="H94" s="113"/>
      <c r="I94" s="8"/>
    </row>
    <row r="95" spans="1:9" ht="16.5">
      <c r="A95" s="412"/>
      <c r="C95" s="113"/>
      <c r="D95" s="113"/>
      <c r="E95" s="114"/>
      <c r="F95" s="113"/>
      <c r="G95" s="113"/>
      <c r="H95" s="113"/>
      <c r="I95" s="8"/>
    </row>
    <row r="96" spans="1:9" ht="16.5">
      <c r="A96" s="407" t="s">
        <v>436</v>
      </c>
      <c r="B96" s="113"/>
      <c r="C96" s="113"/>
      <c r="D96" s="113"/>
      <c r="E96" s="114"/>
      <c r="F96" s="113"/>
      <c r="G96" s="113"/>
      <c r="H96" s="113"/>
      <c r="I96" s="8"/>
    </row>
    <row r="97" spans="1:9" ht="16.5">
      <c r="A97" s="416" t="s">
        <v>475</v>
      </c>
      <c r="B97" s="113"/>
      <c r="C97" s="113"/>
      <c r="D97" s="113"/>
      <c r="E97" s="114"/>
      <c r="F97" s="113"/>
      <c r="G97" s="113"/>
      <c r="H97" s="113"/>
      <c r="I97" s="8"/>
    </row>
    <row r="98" spans="1:9" ht="16.5">
      <c r="A98" s="417" t="s">
        <v>437</v>
      </c>
      <c r="B98" s="418"/>
      <c r="C98" s="113"/>
      <c r="D98" s="113"/>
      <c r="E98" s="114"/>
      <c r="F98" s="113"/>
      <c r="G98" s="113"/>
      <c r="H98" s="113"/>
      <c r="I98" s="8"/>
    </row>
    <row r="99" spans="1:9" ht="16.5">
      <c r="A99" s="459" t="s">
        <v>438</v>
      </c>
      <c r="B99" s="113"/>
      <c r="C99" s="113"/>
      <c r="D99" s="113"/>
      <c r="E99" s="114"/>
      <c r="F99" s="113"/>
      <c r="G99" s="113"/>
      <c r="H99" s="113"/>
      <c r="I99" s="8"/>
    </row>
    <row r="100" spans="1:9" ht="16.5">
      <c r="A100" s="419"/>
      <c r="B100" s="113"/>
      <c r="C100" s="113"/>
      <c r="D100" s="113"/>
      <c r="E100" s="114"/>
      <c r="F100" s="113"/>
      <c r="G100" s="113"/>
      <c r="H100" s="113"/>
      <c r="I100" s="8"/>
    </row>
    <row r="101" spans="1:9" ht="16.5">
      <c r="A101" s="407" t="s">
        <v>439</v>
      </c>
      <c r="B101" s="113"/>
      <c r="C101" s="113"/>
      <c r="D101" s="113"/>
      <c r="E101" s="114"/>
      <c r="F101" s="113"/>
      <c r="G101" s="113"/>
      <c r="H101" s="113"/>
      <c r="I101" s="8"/>
    </row>
    <row r="102" spans="1:9" ht="16.5">
      <c r="A102" s="416" t="s">
        <v>475</v>
      </c>
      <c r="B102" s="113"/>
      <c r="C102" s="113"/>
      <c r="D102" s="113"/>
      <c r="E102" s="114"/>
      <c r="F102" s="113"/>
      <c r="G102" s="113"/>
      <c r="H102" s="113"/>
      <c r="I102" s="8"/>
    </row>
    <row r="103" spans="1:9" ht="16.5">
      <c r="A103" s="417" t="s">
        <v>488</v>
      </c>
      <c r="B103" s="113"/>
      <c r="C103" s="113"/>
      <c r="D103" s="113"/>
      <c r="E103" s="114"/>
      <c r="F103" s="113"/>
      <c r="G103" s="113"/>
      <c r="H103" s="113"/>
      <c r="I103" s="8"/>
    </row>
    <row r="104" spans="1:9" ht="16.5">
      <c r="A104" s="413" t="s">
        <v>476</v>
      </c>
      <c r="B104" s="113"/>
      <c r="C104" s="113"/>
      <c r="D104" s="113"/>
      <c r="E104" s="114"/>
      <c r="F104" s="113"/>
      <c r="G104" s="113"/>
      <c r="H104" s="113"/>
      <c r="I104" s="8"/>
    </row>
    <row r="105" spans="1:9">
      <c r="A105" s="419"/>
    </row>
    <row r="106" spans="1:9" ht="16.5">
      <c r="A106" s="384" t="s">
        <v>491</v>
      </c>
    </row>
    <row r="107" spans="1:9" ht="16.5">
      <c r="A107" s="413" t="s">
        <v>451</v>
      </c>
    </row>
    <row r="108" spans="1:9">
      <c r="A108" s="459" t="s">
        <v>491</v>
      </c>
    </row>
  </sheetData>
  <hyperlinks>
    <hyperlink ref="A73" r:id="rId1" xr:uid="{283E77A2-DAD7-486C-B8AE-FC28C46816AD}"/>
    <hyperlink ref="A79" r:id="rId2" xr:uid="{46FC0968-0170-4A13-BAAA-1CED5686F3A3}"/>
    <hyperlink ref="A83" r:id="rId3" xr:uid="{EE31795D-0548-4292-85E1-80B793EEB503}"/>
    <hyperlink ref="A94" r:id="rId4" xr:uid="{F07F61B0-2C52-4350-9981-44B95108F27E}"/>
    <hyperlink ref="A99" r:id="rId5" xr:uid="{5BE2DCCD-236A-4EA5-B95E-C446C5F16622}"/>
    <hyperlink ref="A104" r:id="rId6" display="https://www.federalreserve.gov/monetarypolicy/files/fomcprojtabl20241218.pd" xr:uid="{8BFF0FC4-2005-413F-AA56-50E8F5E5586E}"/>
    <hyperlink ref="A89" r:id="rId7" xr:uid="{F6BFBDBA-A67A-4AEA-BE62-E5DA186333FE}"/>
    <hyperlink ref="A88" r:id="rId8" display="https://www.cbo.gov/system/files/2025-01/60870-Outlook-2025.pdf" xr:uid="{6C4888C7-47B9-4622-A106-EEF854CFEC35}"/>
    <hyperlink ref="A90" r:id="rId9" xr:uid="{CD211771-848A-436E-BA91-C5995B159836}"/>
    <hyperlink ref="A87" r:id="rId10" location="4" display="https://www.cbo.gov/data/budget-economic-data - 4" xr:uid="{1FB9D167-35D8-4EFC-A10E-7CA613E01640}"/>
    <hyperlink ref="A67" r:id="rId11" xr:uid="{BFC064A6-AFDF-4762-B184-492FC19D364D}"/>
    <hyperlink ref="A107" r:id="rId12" xr:uid="{5F94173C-A71F-4275-A0A9-CF1723F77E82}"/>
    <hyperlink ref="A108" r:id="rId13" xr:uid="{1406A232-6E14-422E-A45D-86E7421414D7}"/>
    <hyperlink ref="A74" r:id="rId14" xr:uid="{EE00A574-0406-4406-AE55-71A0E2223EFC}"/>
  </hyperlinks>
  <pageMargins left="0.25" right="0.25" top="0.75" bottom="0.75" header="0.3" footer="0.3"/>
  <pageSetup scale="27" fitToWidth="0" orientation="portrait" r:id="rId1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B3E21-02C8-4DD8-8716-F089613D60AE}">
  <sheetPr>
    <tabColor rgb="FF92D050"/>
    <pageSetUpPr fitToPage="1"/>
  </sheetPr>
  <dimension ref="A1:I105"/>
  <sheetViews>
    <sheetView view="pageBreakPreview" zoomScale="70" zoomScaleNormal="80" zoomScaleSheetLayoutView="70" workbookViewId="0">
      <selection activeCell="D53" sqref="D53"/>
    </sheetView>
  </sheetViews>
  <sheetFormatPr defaultRowHeight="15"/>
  <cols>
    <col min="1" max="1" width="45.7109375" customWidth="1"/>
    <col min="2" max="2" width="17.85546875" customWidth="1"/>
    <col min="3" max="3" width="72.140625" customWidth="1"/>
    <col min="4" max="4" width="34.5703125" customWidth="1"/>
    <col min="5" max="5" width="21.7109375" customWidth="1"/>
    <col min="6" max="6" width="13.140625" customWidth="1"/>
    <col min="7" max="7" width="24.85546875" customWidth="1"/>
    <col min="8" max="8" width="18" customWidth="1"/>
    <col min="9" max="9" width="20.85546875" customWidth="1"/>
    <col min="10" max="10" width="19" customWidth="1"/>
    <col min="11" max="11" width="17.28515625" customWidth="1"/>
    <col min="12" max="12" width="24.140625" customWidth="1"/>
  </cols>
  <sheetData>
    <row r="1" spans="1:9" ht="26.25">
      <c r="A1" s="19" t="s">
        <v>1</v>
      </c>
      <c r="B1" s="8"/>
      <c r="C1" s="8"/>
      <c r="D1" s="8"/>
      <c r="E1" s="8"/>
      <c r="F1" s="8"/>
      <c r="G1" s="8"/>
      <c r="H1" s="8"/>
      <c r="I1" s="8"/>
    </row>
    <row r="2" spans="1:9" ht="17.25">
      <c r="A2" s="56" t="s">
        <v>9</v>
      </c>
      <c r="B2" s="8"/>
      <c r="C2" s="8"/>
      <c r="D2" s="8"/>
      <c r="E2" s="8"/>
      <c r="F2" s="8"/>
      <c r="G2" s="8"/>
      <c r="H2" s="8"/>
      <c r="I2" s="8"/>
    </row>
    <row r="3" spans="1:9" ht="16.5">
      <c r="A3" s="38" t="s">
        <v>457</v>
      </c>
      <c r="B3" s="8"/>
      <c r="C3" s="8"/>
      <c r="D3" s="8"/>
      <c r="E3" s="8"/>
      <c r="F3" s="8"/>
      <c r="G3" s="8"/>
      <c r="H3" s="8"/>
      <c r="I3" s="8"/>
    </row>
    <row r="4" spans="1:9" ht="16.5">
      <c r="A4" s="8"/>
      <c r="B4" s="8"/>
      <c r="C4" s="8"/>
      <c r="D4" s="8"/>
      <c r="E4" s="8"/>
      <c r="F4" s="8"/>
      <c r="G4" s="8"/>
      <c r="H4" s="8"/>
      <c r="I4" s="8"/>
    </row>
    <row r="5" spans="1:9" ht="18" thickBot="1">
      <c r="A5" s="56"/>
      <c r="B5" s="8"/>
      <c r="C5" s="8"/>
      <c r="D5" s="8"/>
      <c r="E5" s="8"/>
      <c r="F5" s="8"/>
      <c r="G5" s="8"/>
      <c r="H5" s="8"/>
      <c r="I5" s="8"/>
    </row>
    <row r="6" spans="1:9" ht="21" thickBot="1">
      <c r="A6" s="223" t="str">
        <f>+'S&amp;D'!A12</f>
        <v>Railroad Carriers</v>
      </c>
      <c r="B6" s="160"/>
      <c r="C6" s="8"/>
      <c r="D6" s="8"/>
      <c r="E6" s="8"/>
      <c r="F6" s="8"/>
      <c r="G6" s="8"/>
      <c r="H6" s="8"/>
      <c r="I6" s="8"/>
    </row>
    <row r="7" spans="1:9" ht="20.25">
      <c r="A7" s="25"/>
      <c r="B7" s="8"/>
      <c r="C7" s="8"/>
      <c r="D7" s="8"/>
      <c r="E7" s="8"/>
      <c r="F7" s="8"/>
      <c r="G7" s="8"/>
      <c r="H7" s="8"/>
      <c r="I7" s="8"/>
    </row>
    <row r="8" spans="1:9" ht="18" thickBot="1">
      <c r="A8" s="56"/>
      <c r="B8" s="8"/>
      <c r="C8" s="24"/>
      <c r="E8" s="8"/>
      <c r="F8" s="8"/>
      <c r="G8" s="8"/>
      <c r="H8" s="8"/>
      <c r="I8" s="8"/>
    </row>
    <row r="9" spans="1:9" ht="26.25">
      <c r="B9" s="8"/>
      <c r="C9" s="26" t="s">
        <v>147</v>
      </c>
      <c r="E9" s="8"/>
      <c r="F9" s="8"/>
      <c r="G9" s="8"/>
      <c r="H9" s="8"/>
      <c r="I9" s="8"/>
    </row>
    <row r="10" spans="1:9" ht="21" thickBot="1">
      <c r="A10" s="25"/>
      <c r="B10" s="8"/>
      <c r="C10" s="27" t="s">
        <v>470</v>
      </c>
      <c r="E10" s="8"/>
      <c r="F10" s="8"/>
      <c r="G10" s="8"/>
      <c r="H10" s="8"/>
      <c r="I10" s="8"/>
    </row>
    <row r="11" spans="1:9" ht="20.25">
      <c r="A11" s="25"/>
      <c r="B11" s="8"/>
      <c r="C11" s="8"/>
      <c r="D11" s="8"/>
      <c r="E11" s="8"/>
      <c r="F11" s="8"/>
      <c r="G11" s="8"/>
      <c r="H11" s="8"/>
      <c r="I11" s="8"/>
    </row>
    <row r="12" spans="1:9" ht="17.25" thickBot="1">
      <c r="A12" s="8"/>
      <c r="B12" s="8"/>
      <c r="C12" s="8"/>
      <c r="D12" s="8"/>
      <c r="E12" s="8"/>
      <c r="F12" s="8"/>
      <c r="G12" s="8"/>
      <c r="H12" s="8"/>
      <c r="I12" s="8"/>
    </row>
    <row r="13" spans="1:9" ht="16.5">
      <c r="A13" s="8"/>
      <c r="B13" s="8"/>
      <c r="C13" s="72" t="s">
        <v>0</v>
      </c>
      <c r="D13" s="72" t="s">
        <v>181</v>
      </c>
      <c r="E13" s="8"/>
      <c r="F13" s="8"/>
      <c r="G13" s="8"/>
      <c r="H13" s="8"/>
      <c r="I13" s="8"/>
    </row>
    <row r="14" spans="1:9" ht="21" thickBot="1">
      <c r="A14" s="8"/>
      <c r="B14" s="8"/>
      <c r="C14" s="315" t="s">
        <v>146</v>
      </c>
      <c r="D14" s="74" t="s">
        <v>253</v>
      </c>
      <c r="E14" s="8"/>
      <c r="F14" s="8"/>
      <c r="G14" s="8"/>
      <c r="H14" s="8"/>
      <c r="I14" s="8"/>
    </row>
    <row r="15" spans="1:9" ht="17.25">
      <c r="A15" s="8"/>
      <c r="B15" s="8"/>
      <c r="C15" s="233" t="s">
        <v>371</v>
      </c>
      <c r="D15" s="316">
        <f>+CAPM!F16</f>
        <v>7.6029999999999986E-2</v>
      </c>
      <c r="E15" s="318"/>
      <c r="F15" s="8"/>
      <c r="G15" s="8"/>
      <c r="H15" s="8"/>
      <c r="I15" s="8"/>
    </row>
    <row r="16" spans="1:9" ht="17.25">
      <c r="A16" s="8"/>
      <c r="B16" s="8"/>
      <c r="C16" s="234" t="s">
        <v>372</v>
      </c>
      <c r="D16" s="317">
        <f>+CAPM!F17</f>
        <v>7.6409999999999992E-2</v>
      </c>
      <c r="E16" s="318"/>
      <c r="F16" s="8"/>
      <c r="G16" s="8"/>
      <c r="H16" s="8"/>
      <c r="I16" s="8"/>
    </row>
    <row r="17" spans="1:9" ht="17.25">
      <c r="A17" s="8"/>
      <c r="B17" s="8"/>
      <c r="C17" s="234" t="s">
        <v>388</v>
      </c>
      <c r="D17" s="317">
        <f>+CAPM!F19</f>
        <v>8.8285000000000002E-2</v>
      </c>
      <c r="E17" s="318"/>
      <c r="F17" s="8"/>
      <c r="G17" s="8"/>
      <c r="H17" s="8"/>
      <c r="I17" s="8"/>
    </row>
    <row r="18" spans="1:9" ht="17.25">
      <c r="A18" s="8"/>
      <c r="B18" s="8"/>
      <c r="C18" s="234" t="s">
        <v>402</v>
      </c>
      <c r="D18" s="317">
        <f>+CAPM!F20</f>
        <v>0.10680999999999999</v>
      </c>
      <c r="E18" s="318"/>
      <c r="F18" s="8"/>
      <c r="G18" s="8"/>
      <c r="H18" s="8"/>
      <c r="I18" s="8"/>
    </row>
    <row r="19" spans="1:9" ht="17.25">
      <c r="A19" s="8"/>
      <c r="B19" s="8"/>
      <c r="C19" s="234" t="s">
        <v>389</v>
      </c>
      <c r="D19" s="317">
        <f>+CAPM!F21</f>
        <v>8.5719999999999991E-2</v>
      </c>
      <c r="E19" s="318"/>
      <c r="F19" s="8"/>
      <c r="G19" s="8"/>
      <c r="H19" s="8"/>
      <c r="I19" s="8"/>
    </row>
    <row r="20" spans="1:9" ht="17.25">
      <c r="A20" s="8"/>
      <c r="B20" s="8"/>
      <c r="C20" s="234" t="s">
        <v>390</v>
      </c>
      <c r="D20" s="317">
        <f>+CAPM!F22</f>
        <v>8.2490000000000008E-2</v>
      </c>
      <c r="E20" s="318"/>
      <c r="F20" s="8"/>
      <c r="G20" s="8"/>
      <c r="H20" s="8"/>
      <c r="I20" s="8"/>
    </row>
    <row r="21" spans="1:9" ht="17.25">
      <c r="A21" s="8"/>
      <c r="B21" s="8"/>
      <c r="C21" s="234" t="s">
        <v>148</v>
      </c>
      <c r="D21" s="317">
        <f>+CAPM!F24</f>
        <v>0.10139499999999999</v>
      </c>
      <c r="E21" s="318"/>
      <c r="F21" s="8"/>
      <c r="G21" s="8"/>
      <c r="H21" s="8"/>
      <c r="I21" s="8"/>
    </row>
    <row r="22" spans="1:9" ht="17.25">
      <c r="A22" s="8"/>
      <c r="B22" s="8"/>
      <c r="C22" s="234" t="s">
        <v>149</v>
      </c>
      <c r="D22" s="317">
        <f>+CAPM!F26</f>
        <v>0.10034999999999999</v>
      </c>
      <c r="E22" s="318"/>
      <c r="F22" s="8"/>
      <c r="G22" s="8"/>
      <c r="H22" s="8"/>
      <c r="I22" s="8"/>
    </row>
    <row r="23" spans="1:9" ht="17.25">
      <c r="A23" s="8"/>
      <c r="B23" s="8"/>
      <c r="C23" s="234" t="s">
        <v>150</v>
      </c>
      <c r="D23" s="317">
        <f>+CAPM!F28</f>
        <v>0.11251</v>
      </c>
      <c r="E23" s="349"/>
      <c r="G23" s="8"/>
      <c r="H23" s="8"/>
      <c r="I23" s="8"/>
    </row>
    <row r="24" spans="1:9" ht="17.25">
      <c r="A24" s="8"/>
      <c r="B24" s="8"/>
      <c r="C24" s="234" t="s">
        <v>151</v>
      </c>
      <c r="D24" s="317">
        <f>+CAPM!F29</f>
        <v>0.10072999999999999</v>
      </c>
      <c r="E24" s="349"/>
      <c r="G24" s="8"/>
      <c r="H24" s="8"/>
      <c r="I24" s="8"/>
    </row>
    <row r="25" spans="1:9" ht="17.25">
      <c r="A25" s="8"/>
      <c r="B25" s="8"/>
      <c r="C25" s="235" t="s">
        <v>391</v>
      </c>
      <c r="D25" s="317">
        <f>+CAPM!F31</f>
        <v>0.118115</v>
      </c>
      <c r="E25" s="332"/>
      <c r="F25" s="8"/>
      <c r="G25" s="8"/>
      <c r="H25" s="8"/>
      <c r="I25" s="8"/>
    </row>
    <row r="26" spans="1:9" ht="17.25">
      <c r="A26" s="8"/>
      <c r="B26" s="8"/>
      <c r="C26" s="235" t="s">
        <v>392</v>
      </c>
      <c r="D26" s="317">
        <f>+CAPM!F32</f>
        <v>0.108045</v>
      </c>
      <c r="E26" s="332"/>
      <c r="F26" s="8"/>
      <c r="G26" s="8"/>
      <c r="H26" s="8"/>
      <c r="I26" s="8"/>
    </row>
    <row r="27" spans="1:9" ht="17.25">
      <c r="A27" s="8"/>
      <c r="B27" s="8"/>
      <c r="C27" s="235" t="s">
        <v>393</v>
      </c>
      <c r="D27" s="317">
        <f>+CAPM!F33</f>
        <v>9.5599999999999991E-2</v>
      </c>
      <c r="E27" s="332"/>
      <c r="F27" s="8"/>
      <c r="G27" s="8"/>
      <c r="H27" s="8"/>
      <c r="I27" s="8"/>
    </row>
    <row r="28" spans="1:9" ht="17.25">
      <c r="A28" s="8"/>
      <c r="B28" s="8"/>
      <c r="C28" s="234" t="s">
        <v>373</v>
      </c>
      <c r="D28" s="317">
        <f>+CAPM!G42</f>
        <v>7.6397499999999993E-2</v>
      </c>
      <c r="E28" s="318"/>
      <c r="F28" s="8"/>
      <c r="G28" s="8"/>
      <c r="H28" s="8"/>
      <c r="I28" s="8"/>
    </row>
    <row r="29" spans="1:9" ht="17.25">
      <c r="A29" s="8"/>
      <c r="B29" s="8"/>
      <c r="C29" s="234" t="s">
        <v>374</v>
      </c>
      <c r="D29" s="317">
        <f>+CAPM!G43</f>
        <v>7.6782500000000004E-2</v>
      </c>
      <c r="E29" s="318"/>
      <c r="F29" s="8"/>
      <c r="G29" s="8"/>
      <c r="H29" s="8"/>
      <c r="I29" s="8"/>
    </row>
    <row r="30" spans="1:9" ht="17.25">
      <c r="A30" s="8"/>
      <c r="B30" s="8"/>
      <c r="C30" s="234" t="s">
        <v>394</v>
      </c>
      <c r="D30" s="317">
        <f>+CAPM!G45</f>
        <v>8.8813749999999997E-2</v>
      </c>
      <c r="E30" s="318"/>
      <c r="F30" s="8"/>
      <c r="G30" s="8"/>
      <c r="H30" s="8"/>
      <c r="I30" s="8"/>
    </row>
    <row r="31" spans="1:9" ht="17.25">
      <c r="A31" s="8"/>
      <c r="B31" s="8"/>
      <c r="C31" s="234" t="s">
        <v>403</v>
      </c>
      <c r="D31" s="317">
        <f>+CAPM!G46</f>
        <v>0.1075825</v>
      </c>
      <c r="E31" s="318"/>
      <c r="F31" s="8"/>
      <c r="G31" s="8"/>
      <c r="H31" s="8"/>
      <c r="I31" s="8"/>
    </row>
    <row r="32" spans="1:9" ht="17.25">
      <c r="A32" s="8"/>
      <c r="B32" s="8"/>
      <c r="C32" s="234" t="s">
        <v>395</v>
      </c>
      <c r="D32" s="317">
        <f>+CAPM!G47</f>
        <v>8.6215E-2</v>
      </c>
      <c r="E32" s="318"/>
      <c r="F32" s="8"/>
      <c r="G32" s="8"/>
      <c r="H32" s="8"/>
      <c r="I32" s="8"/>
    </row>
    <row r="33" spans="1:9" ht="17.25">
      <c r="A33" s="8"/>
      <c r="B33" s="8"/>
      <c r="C33" s="234" t="s">
        <v>396</v>
      </c>
      <c r="D33" s="317">
        <f>+CAPM!G48</f>
        <v>8.2942500000000002E-2</v>
      </c>
      <c r="E33" s="318"/>
      <c r="F33" s="8"/>
      <c r="G33" s="8"/>
      <c r="H33" s="8"/>
      <c r="I33" s="8"/>
    </row>
    <row r="34" spans="1:9" ht="17.25">
      <c r="A34" s="8"/>
      <c r="B34" s="8"/>
      <c r="C34" s="234" t="s">
        <v>152</v>
      </c>
      <c r="D34" s="317">
        <f>+CAPM!G50</f>
        <v>0.10209625</v>
      </c>
      <c r="E34" s="318"/>
      <c r="F34" s="8"/>
      <c r="G34" s="8"/>
      <c r="H34" s="8"/>
      <c r="I34" s="8"/>
    </row>
    <row r="35" spans="1:9" ht="17.25">
      <c r="A35" s="8"/>
      <c r="B35" s="8"/>
      <c r="C35" s="234" t="s">
        <v>153</v>
      </c>
      <c r="D35" s="317">
        <f>+CAPM!G52</f>
        <v>0.1010375</v>
      </c>
      <c r="E35" s="318"/>
      <c r="F35" s="8"/>
      <c r="G35" s="8"/>
      <c r="H35" s="8"/>
      <c r="I35" s="8"/>
    </row>
    <row r="36" spans="1:9" ht="17.25">
      <c r="A36" s="8"/>
      <c r="B36" s="8"/>
      <c r="C36" s="235" t="s">
        <v>154</v>
      </c>
      <c r="D36" s="317">
        <f>+CAPM!G54</f>
        <v>0.1133575</v>
      </c>
      <c r="E36" s="318"/>
      <c r="F36" s="8"/>
      <c r="G36" s="8"/>
      <c r="H36" s="8"/>
      <c r="I36" s="8"/>
    </row>
    <row r="37" spans="1:9" ht="17.25">
      <c r="A37" s="8"/>
      <c r="B37" s="8"/>
      <c r="C37" s="234" t="s">
        <v>155</v>
      </c>
      <c r="D37" s="317">
        <f>+CAPM!G55</f>
        <v>0.1014225</v>
      </c>
      <c r="E37" s="318"/>
      <c r="F37" s="8"/>
      <c r="G37" s="8"/>
      <c r="H37" s="8"/>
      <c r="I37" s="8"/>
    </row>
    <row r="38" spans="1:9" ht="16.5" customHeight="1">
      <c r="A38" s="8"/>
      <c r="B38" s="8"/>
      <c r="C38" s="235" t="s">
        <v>397</v>
      </c>
      <c r="D38" s="317">
        <f>+CAPM!G57</f>
        <v>0.11903624999999998</v>
      </c>
      <c r="E38" s="318" t="s">
        <v>0</v>
      </c>
      <c r="F38" s="8"/>
      <c r="G38" s="8"/>
      <c r="H38" s="8"/>
      <c r="I38" s="8"/>
    </row>
    <row r="39" spans="1:9" ht="16.5" customHeight="1">
      <c r="A39" s="8"/>
      <c r="B39" s="8"/>
      <c r="C39" s="235" t="s">
        <v>398</v>
      </c>
      <c r="D39" s="317">
        <f>+CAPM!G58</f>
        <v>0.10883375000000001</v>
      </c>
      <c r="E39" s="318"/>
      <c r="F39" s="8"/>
      <c r="G39" s="8"/>
      <c r="H39" s="8"/>
      <c r="I39" s="8"/>
    </row>
    <row r="40" spans="1:9" ht="18.75" customHeight="1">
      <c r="A40" s="8"/>
      <c r="B40" s="8"/>
      <c r="C40" s="235" t="s">
        <v>399</v>
      </c>
      <c r="D40" s="317">
        <f>+CAPM!G59</f>
        <v>9.6225000000000005E-2</v>
      </c>
      <c r="E40" s="319"/>
      <c r="F40" s="8"/>
      <c r="G40" s="8"/>
      <c r="H40" s="8"/>
      <c r="I40" s="8"/>
    </row>
    <row r="41" spans="1:9" ht="21.75" customHeight="1">
      <c r="A41" s="8"/>
      <c r="B41" s="8"/>
      <c r="C41" s="236" t="s">
        <v>226</v>
      </c>
      <c r="D41" s="177">
        <f>+'Single Stage Div Growth Model'!I28</f>
        <v>9.9199999999999997E-2</v>
      </c>
      <c r="G41" s="8"/>
      <c r="H41" s="8"/>
      <c r="I41" s="8"/>
    </row>
    <row r="42" spans="1:9" ht="21.75" customHeight="1">
      <c r="A42" s="8"/>
      <c r="B42" s="8"/>
      <c r="C42" s="236" t="s">
        <v>225</v>
      </c>
      <c r="D42" s="177">
        <f>+'Single Stage Div Growth Model'!I30</f>
        <v>0.1062</v>
      </c>
      <c r="G42" s="8"/>
      <c r="H42" s="8"/>
      <c r="I42" s="8"/>
    </row>
    <row r="43" spans="1:9" ht="21.75" customHeight="1">
      <c r="A43" s="8"/>
      <c r="B43" s="8"/>
      <c r="C43" s="333" t="s">
        <v>227</v>
      </c>
      <c r="D43" s="334">
        <f>+'Two-Stage Div Growth Model'!H32</f>
        <v>9.2700000000000005E-2</v>
      </c>
      <c r="G43" s="75" t="s">
        <v>0</v>
      </c>
      <c r="H43" s="8"/>
      <c r="I43" s="8"/>
    </row>
    <row r="44" spans="1:9" ht="21.75" customHeight="1">
      <c r="A44" s="8"/>
      <c r="B44" s="8"/>
      <c r="C44" s="313" t="s">
        <v>330</v>
      </c>
      <c r="D44" s="314">
        <f>+'Direct NOPAT'!G55</f>
        <v>7.4700000000000003E-2</v>
      </c>
      <c r="E44" s="335" t="s">
        <v>0</v>
      </c>
      <c r="F44" s="8"/>
      <c r="G44" s="8"/>
      <c r="H44" s="8"/>
      <c r="I44" s="8"/>
    </row>
    <row r="45" spans="1:9" ht="17.25" thickBot="1">
      <c r="A45" s="8"/>
      <c r="B45" s="8"/>
      <c r="C45" s="8"/>
      <c r="D45" s="63"/>
      <c r="E45" s="8"/>
      <c r="F45" s="8"/>
      <c r="G45" s="8"/>
      <c r="H45" s="8"/>
      <c r="I45" s="8"/>
    </row>
    <row r="46" spans="1:9" ht="17.25" thickTop="1">
      <c r="A46" s="8"/>
      <c r="B46" s="8"/>
      <c r="C46" s="10" t="s">
        <v>46</v>
      </c>
      <c r="D46" s="46">
        <f>MAX(D15:D43)</f>
        <v>0.11903624999999998</v>
      </c>
      <c r="E46" s="127"/>
      <c r="F46" s="8"/>
      <c r="G46" s="8"/>
      <c r="H46" s="8"/>
      <c r="I46" s="8"/>
    </row>
    <row r="47" spans="1:9" ht="16.5">
      <c r="A47" s="8"/>
      <c r="B47" s="8"/>
      <c r="C47" s="10" t="s">
        <v>47</v>
      </c>
      <c r="D47" s="285">
        <f>MIN(D15:D43)</f>
        <v>7.6029999999999986E-2</v>
      </c>
      <c r="E47" s="8"/>
      <c r="F47" s="8"/>
      <c r="G47" s="46"/>
      <c r="H47" s="46"/>
      <c r="I47" s="46"/>
    </row>
    <row r="48" spans="1:9" ht="16.5">
      <c r="A48" s="8"/>
      <c r="B48" s="8"/>
      <c r="C48" s="10" t="s">
        <v>18</v>
      </c>
      <c r="D48" s="75">
        <f>MEDIAN(D15:D43)</f>
        <v>0.10034999999999999</v>
      </c>
      <c r="E48" s="75"/>
      <c r="F48" s="75"/>
      <c r="G48" s="75"/>
      <c r="H48" s="75"/>
      <c r="I48" s="75"/>
    </row>
    <row r="49" spans="1:9" ht="16.5">
      <c r="A49" s="8"/>
      <c r="B49" s="8"/>
      <c r="C49" s="10" t="s">
        <v>375</v>
      </c>
      <c r="D49" s="76">
        <f>AVERAGE(D15:D43)</f>
        <v>9.6942499999999987E-2</v>
      </c>
      <c r="E49" s="76"/>
      <c r="F49" s="76"/>
      <c r="G49" s="76"/>
      <c r="H49" s="76"/>
      <c r="I49" s="76"/>
    </row>
    <row r="50" spans="1:9" ht="16.5">
      <c r="A50" s="8"/>
      <c r="B50" s="8"/>
      <c r="C50" s="10"/>
      <c r="D50" s="76"/>
      <c r="E50" s="8"/>
      <c r="F50" s="8"/>
      <c r="G50" s="8"/>
      <c r="H50" s="8"/>
      <c r="I50" s="8"/>
    </row>
    <row r="51" spans="1:9" ht="17.25" thickBot="1">
      <c r="A51" s="8"/>
      <c r="B51" s="8"/>
      <c r="C51" s="10"/>
      <c r="D51" s="76"/>
      <c r="E51" s="8"/>
      <c r="F51" s="8"/>
      <c r="G51" s="8"/>
      <c r="H51" s="8"/>
      <c r="I51" s="8"/>
    </row>
    <row r="52" spans="1:9" ht="27" thickBot="1">
      <c r="A52" s="8"/>
      <c r="B52" s="8"/>
      <c r="C52" s="167" t="s">
        <v>233</v>
      </c>
      <c r="D52" s="343">
        <v>9.69E-2</v>
      </c>
      <c r="E52" s="77"/>
      <c r="F52" s="77"/>
    </row>
    <row r="53" spans="1:9" ht="16.5">
      <c r="A53" s="8"/>
      <c r="B53" s="8"/>
      <c r="C53" s="8"/>
      <c r="D53" s="8"/>
      <c r="E53" s="8"/>
      <c r="F53" s="8"/>
    </row>
    <row r="54" spans="1:9" ht="17.25">
      <c r="A54" s="98" t="s">
        <v>0</v>
      </c>
      <c r="B54" s="8"/>
      <c r="C54" s="8"/>
      <c r="D54" s="8"/>
      <c r="E54" s="8"/>
      <c r="F54" s="8"/>
      <c r="G54" s="8"/>
      <c r="H54" s="8"/>
      <c r="I54" s="8"/>
    </row>
    <row r="55" spans="1:9" ht="16.5">
      <c r="A55" s="8"/>
      <c r="B55" s="8"/>
      <c r="C55" s="8"/>
      <c r="D55" s="8"/>
      <c r="E55" s="8"/>
      <c r="F55" s="8"/>
      <c r="G55" s="8"/>
      <c r="H55" s="8"/>
      <c r="I55" s="8"/>
    </row>
    <row r="56" spans="1:9" ht="16.5">
      <c r="A56" s="8"/>
      <c r="B56" s="8"/>
      <c r="C56" s="8"/>
      <c r="D56" s="8"/>
      <c r="E56" s="8"/>
      <c r="F56" s="8"/>
      <c r="G56" s="8"/>
      <c r="H56" s="8"/>
      <c r="I56" s="8"/>
    </row>
    <row r="57" spans="1:9" ht="16.5">
      <c r="A57" s="8"/>
      <c r="B57" s="8"/>
      <c r="C57" s="8"/>
      <c r="D57" s="8"/>
      <c r="E57" s="8"/>
      <c r="F57" s="8"/>
      <c r="G57" s="8"/>
      <c r="H57" s="8"/>
      <c r="I57" s="8"/>
    </row>
    <row r="58" spans="1:9" ht="16.5">
      <c r="A58" s="8"/>
      <c r="B58" s="8"/>
      <c r="C58" s="8"/>
      <c r="D58" s="8"/>
      <c r="E58" s="8"/>
      <c r="F58" s="8"/>
      <c r="G58" s="8"/>
      <c r="H58" s="8"/>
      <c r="I58" s="8"/>
    </row>
    <row r="59" spans="1:9" ht="16.5">
      <c r="A59" s="8"/>
      <c r="B59" s="8"/>
      <c r="C59" s="8"/>
      <c r="D59" s="8" t="s">
        <v>0</v>
      </c>
      <c r="E59" s="8"/>
      <c r="F59" s="8"/>
      <c r="G59" s="8"/>
      <c r="H59" s="8"/>
      <c r="I59" s="8"/>
    </row>
    <row r="60" spans="1:9" ht="16.5">
      <c r="A60" s="8"/>
      <c r="B60" s="8"/>
      <c r="C60" s="8"/>
      <c r="D60" s="8" t="s">
        <v>0</v>
      </c>
      <c r="E60" s="8"/>
      <c r="F60" s="8"/>
      <c r="G60" s="8"/>
      <c r="H60" s="8"/>
      <c r="I60" s="8"/>
    </row>
    <row r="61" spans="1:9" ht="16.5">
      <c r="A61" s="8"/>
      <c r="B61" s="8"/>
      <c r="C61" s="8"/>
      <c r="D61" s="8"/>
      <c r="E61" s="8"/>
      <c r="F61" s="8"/>
      <c r="G61" s="8"/>
      <c r="H61" s="8"/>
      <c r="I61" s="8"/>
    </row>
    <row r="62" spans="1:9" ht="16.5">
      <c r="A62" s="8"/>
      <c r="B62" s="8"/>
      <c r="C62" s="8"/>
      <c r="D62" s="8"/>
      <c r="E62" s="8"/>
      <c r="F62" s="8"/>
      <c r="G62" s="8"/>
      <c r="H62" s="8"/>
      <c r="I62" s="8"/>
    </row>
    <row r="63" spans="1:9" ht="16.5">
      <c r="A63" s="8"/>
      <c r="B63" s="8"/>
      <c r="C63" s="8"/>
      <c r="D63" s="8"/>
      <c r="E63" s="8"/>
      <c r="F63" s="8"/>
      <c r="G63" s="8"/>
      <c r="H63" s="8"/>
      <c r="I63" s="8"/>
    </row>
    <row r="64" spans="1:9" ht="16.5">
      <c r="A64" s="8"/>
      <c r="B64" s="8"/>
      <c r="C64" s="8"/>
      <c r="D64" s="8"/>
      <c r="E64" s="8"/>
      <c r="F64" s="8"/>
      <c r="G64" s="8"/>
      <c r="H64" s="8"/>
      <c r="I64" s="8"/>
    </row>
    <row r="65" spans="1:9" ht="16.5">
      <c r="A65" s="8"/>
      <c r="B65" s="8"/>
      <c r="C65" s="8"/>
      <c r="D65" s="8"/>
      <c r="E65" s="8"/>
      <c r="F65" s="8"/>
      <c r="G65" s="8"/>
      <c r="H65" s="8"/>
      <c r="I65" s="8"/>
    </row>
    <row r="66" spans="1:9" ht="16.5">
      <c r="A66" s="8"/>
      <c r="B66" s="8"/>
      <c r="C66" s="8"/>
      <c r="D66" s="8"/>
      <c r="E66" s="8"/>
      <c r="F66" s="8"/>
      <c r="G66" s="8"/>
      <c r="H66" s="8"/>
      <c r="I66" s="8"/>
    </row>
    <row r="67" spans="1:9" ht="16.5">
      <c r="A67" s="8"/>
      <c r="B67" s="8"/>
      <c r="C67" s="8"/>
      <c r="D67" s="8"/>
      <c r="E67" s="8"/>
      <c r="F67" s="8"/>
      <c r="G67" s="8"/>
      <c r="H67" s="8"/>
      <c r="I67" s="8"/>
    </row>
    <row r="68" spans="1:9" ht="16.5">
      <c r="A68" s="8"/>
      <c r="B68" s="8"/>
      <c r="C68" s="8"/>
      <c r="D68" s="8"/>
      <c r="E68" s="8"/>
      <c r="F68" s="8"/>
      <c r="G68" s="8"/>
      <c r="H68" s="8"/>
      <c r="I68" s="8"/>
    </row>
    <row r="69" spans="1:9" ht="16.5">
      <c r="A69" s="8"/>
      <c r="B69" s="8"/>
      <c r="C69" s="8"/>
      <c r="D69" s="8"/>
      <c r="E69" s="8"/>
      <c r="F69" s="8"/>
      <c r="G69" s="8"/>
      <c r="H69" s="8"/>
      <c r="I69" s="8"/>
    </row>
    <row r="70" spans="1:9" ht="16.5">
      <c r="A70" s="8"/>
      <c r="B70" s="8"/>
      <c r="C70" s="8"/>
      <c r="D70" s="8"/>
      <c r="E70" s="8"/>
      <c r="F70" s="8"/>
      <c r="G70" s="8"/>
      <c r="H70" s="8"/>
      <c r="I70" s="8"/>
    </row>
    <row r="71" spans="1:9" ht="16.5">
      <c r="A71" s="8"/>
      <c r="B71" s="8"/>
      <c r="C71" s="8"/>
      <c r="D71" s="8"/>
      <c r="E71" s="8"/>
      <c r="F71" s="8"/>
      <c r="G71" s="8"/>
      <c r="H71" s="8"/>
      <c r="I71" s="8"/>
    </row>
    <row r="72" spans="1:9" ht="16.5">
      <c r="A72" s="8"/>
      <c r="B72" s="8"/>
      <c r="C72" s="8"/>
      <c r="D72" s="8"/>
      <c r="E72" s="8"/>
      <c r="F72" s="8"/>
      <c r="G72" s="8"/>
      <c r="H72" s="8"/>
      <c r="I72" s="8"/>
    </row>
    <row r="73" spans="1:9" ht="16.5">
      <c r="A73" s="8"/>
      <c r="B73" s="8"/>
      <c r="C73" s="8"/>
      <c r="D73" s="8"/>
      <c r="E73" s="8"/>
      <c r="F73" s="8"/>
      <c r="G73" s="8"/>
      <c r="H73" s="8"/>
      <c r="I73" s="8"/>
    </row>
    <row r="74" spans="1:9" ht="16.5">
      <c r="A74" s="8"/>
      <c r="B74" s="8"/>
      <c r="C74" s="8"/>
      <c r="D74" s="8"/>
      <c r="E74" s="8"/>
      <c r="F74" s="8"/>
      <c r="G74" s="8"/>
      <c r="H74" s="8"/>
      <c r="I74" s="8"/>
    </row>
    <row r="75" spans="1:9" ht="16.5">
      <c r="A75" s="8"/>
      <c r="B75" s="8"/>
      <c r="C75" s="8"/>
      <c r="D75" s="8"/>
      <c r="E75" s="8"/>
      <c r="F75" s="8"/>
      <c r="G75" s="8"/>
      <c r="H75" s="8"/>
      <c r="I75" s="8"/>
    </row>
    <row r="76" spans="1:9" ht="16.5">
      <c r="A76" s="8"/>
      <c r="B76" s="8"/>
      <c r="C76" s="8"/>
      <c r="D76" s="8"/>
      <c r="E76" s="8"/>
      <c r="F76" s="8"/>
      <c r="G76" s="8"/>
      <c r="H76" s="8"/>
      <c r="I76" s="8"/>
    </row>
    <row r="77" spans="1:9" ht="16.5">
      <c r="A77" s="8"/>
      <c r="B77" s="8"/>
      <c r="C77" s="8"/>
      <c r="D77" s="8"/>
      <c r="E77" s="8"/>
      <c r="F77" s="8"/>
      <c r="G77" s="8"/>
      <c r="H77" s="8"/>
      <c r="I77" s="8"/>
    </row>
    <row r="78" spans="1:9" ht="16.5">
      <c r="A78" s="8"/>
      <c r="B78" s="8"/>
      <c r="C78" s="8"/>
      <c r="D78" s="8"/>
      <c r="E78" s="8"/>
      <c r="F78" s="8"/>
      <c r="G78" s="8"/>
      <c r="H78" s="8"/>
      <c r="I78" s="8"/>
    </row>
    <row r="79" spans="1:9" ht="16.5">
      <c r="A79" s="8"/>
      <c r="B79" s="8"/>
      <c r="C79" s="8"/>
      <c r="D79" s="8"/>
      <c r="E79" s="8"/>
      <c r="F79" s="8"/>
      <c r="G79" s="8"/>
      <c r="H79" s="8"/>
      <c r="I79" s="8"/>
    </row>
    <row r="80" spans="1:9" ht="16.5">
      <c r="A80" s="8"/>
      <c r="B80" s="8"/>
      <c r="C80" s="8"/>
      <c r="D80" s="8"/>
      <c r="E80" s="8"/>
      <c r="F80" s="8"/>
      <c r="G80" s="8"/>
      <c r="H80" s="8"/>
      <c r="I80" s="8"/>
    </row>
    <row r="81" spans="1:9" ht="16.5">
      <c r="A81" s="8"/>
      <c r="B81" s="8"/>
      <c r="C81" s="8"/>
      <c r="D81" s="8"/>
      <c r="E81" s="8"/>
      <c r="F81" s="8"/>
      <c r="G81" s="8"/>
      <c r="H81" s="8"/>
      <c r="I81" s="8"/>
    </row>
    <row r="82" spans="1:9" ht="16.5">
      <c r="A82" s="8"/>
      <c r="B82" s="8"/>
      <c r="C82" s="8"/>
      <c r="D82" s="8"/>
      <c r="E82" s="8"/>
      <c r="F82" s="8"/>
      <c r="G82" s="8"/>
      <c r="H82" s="8"/>
      <c r="I82" s="8"/>
    </row>
    <row r="83" spans="1:9" ht="16.5">
      <c r="A83" s="8"/>
      <c r="B83" s="8"/>
      <c r="C83" s="8"/>
      <c r="D83" s="8"/>
      <c r="E83" s="8"/>
      <c r="F83" s="8"/>
      <c r="G83" s="8"/>
      <c r="H83" s="8"/>
      <c r="I83" s="8"/>
    </row>
    <row r="84" spans="1:9" ht="16.5">
      <c r="A84" s="8"/>
      <c r="B84" s="8"/>
      <c r="C84" s="8"/>
      <c r="D84" s="8"/>
      <c r="E84" s="8"/>
      <c r="F84" s="8"/>
      <c r="G84" s="8"/>
      <c r="H84" s="8"/>
      <c r="I84" s="8"/>
    </row>
    <row r="85" spans="1:9" ht="16.5">
      <c r="A85" s="8"/>
      <c r="B85" s="8"/>
      <c r="C85" s="8"/>
      <c r="D85" s="8"/>
      <c r="E85" s="8"/>
      <c r="F85" s="8"/>
      <c r="G85" s="8"/>
      <c r="H85" s="8"/>
      <c r="I85" s="8"/>
    </row>
    <row r="86" spans="1:9" ht="16.5">
      <c r="A86" s="8"/>
      <c r="B86" s="8"/>
      <c r="C86" s="8"/>
      <c r="D86" s="8"/>
      <c r="E86" s="8"/>
      <c r="F86" s="8"/>
      <c r="G86" s="8"/>
      <c r="H86" s="8"/>
      <c r="I86" s="8"/>
    </row>
    <row r="87" spans="1:9" ht="16.5">
      <c r="A87" s="8"/>
      <c r="B87" s="8"/>
      <c r="C87" s="8"/>
      <c r="D87" s="8"/>
      <c r="E87" s="8"/>
      <c r="F87" s="8"/>
      <c r="G87" s="8"/>
      <c r="H87" s="8"/>
      <c r="I87" s="8"/>
    </row>
    <row r="88" spans="1:9" ht="16.5">
      <c r="A88" s="8"/>
      <c r="B88" s="8"/>
      <c r="C88" s="8"/>
      <c r="D88" s="8"/>
      <c r="E88" s="8"/>
      <c r="F88" s="8"/>
      <c r="G88" s="8"/>
      <c r="H88" s="8"/>
      <c r="I88" s="8"/>
    </row>
    <row r="89" spans="1:9" ht="16.5">
      <c r="A89" s="8"/>
      <c r="B89" s="8"/>
      <c r="C89" s="8"/>
      <c r="D89" s="8"/>
      <c r="E89" s="8"/>
      <c r="F89" s="8"/>
      <c r="G89" s="8"/>
      <c r="H89" s="8"/>
      <c r="I89" s="8"/>
    </row>
    <row r="90" spans="1:9" ht="16.5">
      <c r="A90" s="8"/>
      <c r="B90" s="8"/>
      <c r="C90" s="8"/>
      <c r="D90" s="8"/>
      <c r="E90" s="8"/>
      <c r="F90" s="8"/>
      <c r="G90" s="8"/>
      <c r="H90" s="8"/>
      <c r="I90" s="8"/>
    </row>
    <row r="91" spans="1:9" ht="16.5">
      <c r="A91" s="8"/>
      <c r="B91" s="8"/>
      <c r="C91" s="8"/>
      <c r="D91" s="8"/>
      <c r="E91" s="8"/>
      <c r="F91" s="8"/>
      <c r="G91" s="8"/>
      <c r="H91" s="8"/>
      <c r="I91" s="8"/>
    </row>
    <row r="92" spans="1:9" ht="16.5">
      <c r="A92" s="8"/>
      <c r="B92" s="8"/>
      <c r="C92" s="8"/>
      <c r="D92" s="8"/>
      <c r="E92" s="8"/>
      <c r="F92" s="8"/>
      <c r="G92" s="8"/>
      <c r="H92" s="8"/>
      <c r="I92" s="8"/>
    </row>
    <row r="93" spans="1:9" ht="16.5">
      <c r="A93" s="8"/>
      <c r="B93" s="8"/>
      <c r="C93" s="8"/>
      <c r="D93" s="8"/>
      <c r="E93" s="8"/>
      <c r="F93" s="8"/>
      <c r="G93" s="8"/>
      <c r="H93" s="8"/>
      <c r="I93" s="8"/>
    </row>
    <row r="94" spans="1:9" ht="16.5">
      <c r="A94" s="8"/>
      <c r="B94" s="8"/>
      <c r="C94" s="8"/>
      <c r="D94" s="8"/>
      <c r="E94" s="8"/>
      <c r="F94" s="8"/>
      <c r="G94" s="8"/>
      <c r="H94" s="8"/>
      <c r="I94" s="8"/>
    </row>
    <row r="95" spans="1:9" ht="16.5">
      <c r="A95" s="8"/>
      <c r="B95" s="8"/>
      <c r="C95" s="8"/>
      <c r="D95" s="8"/>
      <c r="E95" s="8"/>
      <c r="F95" s="8"/>
      <c r="G95" s="8"/>
      <c r="H95" s="8"/>
      <c r="I95" s="8"/>
    </row>
    <row r="96" spans="1:9" ht="16.5">
      <c r="A96" s="8"/>
      <c r="B96" s="8"/>
      <c r="C96" s="8"/>
      <c r="D96" s="8"/>
      <c r="E96" s="8"/>
      <c r="F96" s="8"/>
      <c r="G96" s="8"/>
      <c r="H96" s="8"/>
      <c r="I96" s="8"/>
    </row>
    <row r="97" spans="1:9" ht="16.5">
      <c r="A97" s="8"/>
      <c r="B97" s="8"/>
      <c r="C97" s="8"/>
      <c r="D97" s="8"/>
      <c r="E97" s="8"/>
      <c r="F97" s="8"/>
      <c r="G97" s="8"/>
      <c r="H97" s="8"/>
      <c r="I97" s="8"/>
    </row>
    <row r="98" spans="1:9" ht="16.5">
      <c r="A98" s="8"/>
      <c r="B98" s="8"/>
      <c r="C98" s="8"/>
      <c r="D98" s="8"/>
      <c r="E98" s="8"/>
      <c r="F98" s="8"/>
      <c r="G98" s="8"/>
      <c r="H98" s="8"/>
      <c r="I98" s="8"/>
    </row>
    <row r="99" spans="1:9" ht="16.5">
      <c r="A99" s="8"/>
      <c r="B99" s="8"/>
      <c r="C99" s="8"/>
      <c r="D99" s="8"/>
      <c r="E99" s="8"/>
      <c r="F99" s="8"/>
      <c r="G99" s="8"/>
      <c r="H99" s="8"/>
      <c r="I99" s="8"/>
    </row>
    <row r="100" spans="1:9" ht="16.5">
      <c r="A100" s="8"/>
      <c r="B100" s="8"/>
      <c r="C100" s="8"/>
      <c r="D100" s="8"/>
      <c r="E100" s="8"/>
      <c r="F100" s="8"/>
      <c r="G100" s="8"/>
      <c r="H100" s="8"/>
      <c r="I100" s="8"/>
    </row>
    <row r="101" spans="1:9" ht="16.5">
      <c r="A101" s="8"/>
      <c r="B101" s="8"/>
      <c r="C101" s="8"/>
      <c r="D101" s="8"/>
      <c r="E101" s="8"/>
      <c r="F101" s="8"/>
      <c r="G101" s="8"/>
      <c r="H101" s="8"/>
      <c r="I101" s="8"/>
    </row>
    <row r="102" spans="1:9" ht="16.5">
      <c r="A102" s="8"/>
      <c r="B102" s="8"/>
      <c r="C102" s="8"/>
      <c r="D102" s="8"/>
      <c r="E102" s="8"/>
      <c r="F102" s="8"/>
      <c r="G102" s="8"/>
      <c r="H102" s="8"/>
      <c r="I102" s="8"/>
    </row>
    <row r="103" spans="1:9" ht="16.5">
      <c r="A103" s="8"/>
      <c r="B103" s="8"/>
      <c r="C103" s="8"/>
      <c r="D103" s="8"/>
      <c r="E103" s="8"/>
      <c r="F103" s="8"/>
      <c r="G103" s="8"/>
      <c r="H103" s="8"/>
      <c r="I103" s="8"/>
    </row>
    <row r="104" spans="1:9" ht="16.5">
      <c r="A104" s="8"/>
      <c r="B104" s="8"/>
      <c r="C104" s="8"/>
      <c r="D104" s="8"/>
      <c r="E104" s="8"/>
      <c r="F104" s="8"/>
      <c r="G104" s="8"/>
      <c r="H104" s="8"/>
      <c r="I104" s="8"/>
    </row>
    <row r="105" spans="1:9" ht="16.5">
      <c r="A105" s="8"/>
      <c r="B105" s="8"/>
      <c r="C105" s="8"/>
      <c r="D105" s="8"/>
      <c r="E105" s="8"/>
      <c r="F105" s="8"/>
      <c r="G105" s="8"/>
      <c r="H105" s="8"/>
      <c r="I105" s="8"/>
    </row>
  </sheetData>
  <pageMargins left="0.25" right="0.25" top="0.75" bottom="0.75" header="0.3" footer="0.3"/>
  <pageSetup scale="4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EAA8-BBA3-479C-8851-708BD7E9A4CD}">
  <sheetPr>
    <tabColor rgb="FF92D050"/>
  </sheetPr>
  <dimension ref="A1:K43"/>
  <sheetViews>
    <sheetView view="pageBreakPreview" zoomScale="70" zoomScaleNormal="80" zoomScaleSheetLayoutView="70" workbookViewId="0">
      <selection activeCell="G6" sqref="G6"/>
    </sheetView>
  </sheetViews>
  <sheetFormatPr defaultRowHeight="15"/>
  <cols>
    <col min="1" max="1" width="45.140625" customWidth="1"/>
    <col min="2" max="2" width="13.28515625" customWidth="1"/>
    <col min="3" max="3" width="19.140625" bestFit="1" customWidth="1"/>
    <col min="4" max="4" width="15.28515625" customWidth="1"/>
    <col min="5" max="5" width="27.140625" customWidth="1"/>
    <col min="6" max="6" width="22" customWidth="1"/>
    <col min="7" max="7" width="29.28515625" customWidth="1"/>
    <col min="8" max="8" width="37" customWidth="1"/>
    <col min="9" max="9" width="24.5703125" customWidth="1"/>
    <col min="10" max="10" width="24.140625" customWidth="1"/>
    <col min="12" max="12" width="10.5703125" customWidth="1"/>
  </cols>
  <sheetData>
    <row r="1" spans="1:11" ht="26.25">
      <c r="A1" s="19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7.25">
      <c r="A2" s="20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6.5">
      <c r="A3" s="21" t="s">
        <v>457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6.5">
      <c r="A4" s="21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17.25" thickBot="1">
      <c r="A5" s="8"/>
      <c r="B5" s="8"/>
      <c r="C5" s="8"/>
      <c r="D5" s="8"/>
      <c r="E5" s="8"/>
      <c r="F5" s="8" t="s">
        <v>0</v>
      </c>
      <c r="G5" s="8"/>
      <c r="H5" s="22"/>
      <c r="I5" s="8"/>
      <c r="J5" s="8"/>
      <c r="K5" s="8"/>
    </row>
    <row r="6" spans="1:11" ht="18" thickBot="1">
      <c r="A6" s="225" t="str">
        <f>+'S&amp;D'!A12</f>
        <v>Railroad Carriers</v>
      </c>
      <c r="B6" s="160"/>
      <c r="C6" s="8"/>
      <c r="D6" s="24"/>
      <c r="E6" s="24"/>
      <c r="F6" s="24"/>
      <c r="G6" s="478" t="s">
        <v>0</v>
      </c>
      <c r="H6" s="24"/>
      <c r="I6" s="8"/>
      <c r="J6" s="8"/>
      <c r="K6" s="8"/>
    </row>
    <row r="7" spans="1:11" ht="26.25">
      <c r="A7" s="25"/>
      <c r="B7" s="8"/>
      <c r="C7" s="8"/>
      <c r="D7" s="8"/>
      <c r="E7" s="8"/>
      <c r="F7" s="26" t="s">
        <v>370</v>
      </c>
      <c r="G7" s="8"/>
      <c r="H7" s="8"/>
      <c r="I7" s="8"/>
      <c r="J7" s="8"/>
      <c r="K7" s="8"/>
    </row>
    <row r="8" spans="1:11" ht="21" thickBot="1">
      <c r="A8" s="25"/>
      <c r="B8" s="8"/>
      <c r="C8" s="8"/>
      <c r="D8" s="24"/>
      <c r="E8" s="24"/>
      <c r="F8" s="27" t="s">
        <v>470</v>
      </c>
      <c r="G8" s="24"/>
      <c r="H8" s="24"/>
      <c r="I8" s="8"/>
      <c r="J8" s="8"/>
      <c r="K8" s="8"/>
    </row>
    <row r="9" spans="1:11" ht="17.25" thickBot="1">
      <c r="A9" s="28" t="s">
        <v>0</v>
      </c>
      <c r="B9" s="28" t="s">
        <v>0</v>
      </c>
      <c r="C9" s="28" t="s">
        <v>0</v>
      </c>
      <c r="D9" s="24"/>
      <c r="E9" s="28"/>
      <c r="F9" s="28" t="s">
        <v>0</v>
      </c>
      <c r="G9" s="28"/>
      <c r="H9" s="24"/>
      <c r="I9" s="24"/>
      <c r="J9" s="24"/>
      <c r="K9" s="8"/>
    </row>
    <row r="10" spans="1:11" ht="16.5">
      <c r="A10" s="29" t="s">
        <v>0</v>
      </c>
      <c r="B10" s="29" t="s">
        <v>3</v>
      </c>
      <c r="C10" s="29" t="s">
        <v>5</v>
      </c>
      <c r="D10" s="29" t="s">
        <v>156</v>
      </c>
      <c r="E10" s="29" t="s">
        <v>12</v>
      </c>
      <c r="F10" s="29" t="s">
        <v>167</v>
      </c>
      <c r="G10" s="29" t="s">
        <v>168</v>
      </c>
      <c r="H10" s="29" t="s">
        <v>168</v>
      </c>
      <c r="I10" s="29" t="s">
        <v>164</v>
      </c>
      <c r="J10" s="29" t="s">
        <v>164</v>
      </c>
      <c r="K10" s="8"/>
    </row>
    <row r="11" spans="1:11" ht="16.5">
      <c r="A11" s="29" t="s">
        <v>2</v>
      </c>
      <c r="B11" s="29" t="s">
        <v>4</v>
      </c>
      <c r="C11" s="29" t="s">
        <v>6</v>
      </c>
      <c r="D11" s="29" t="s">
        <v>195</v>
      </c>
      <c r="E11" s="29" t="s">
        <v>14</v>
      </c>
      <c r="F11" s="29" t="s">
        <v>345</v>
      </c>
      <c r="G11" s="29" t="s">
        <v>196</v>
      </c>
      <c r="H11" s="29" t="s">
        <v>197</v>
      </c>
      <c r="I11" s="29" t="s">
        <v>159</v>
      </c>
      <c r="J11" s="29" t="s">
        <v>162</v>
      </c>
      <c r="K11" s="8"/>
    </row>
    <row r="12" spans="1:11" ht="16.5">
      <c r="A12" s="29"/>
      <c r="B12" s="29"/>
      <c r="C12" s="29"/>
      <c r="D12" s="29"/>
      <c r="E12" s="29"/>
      <c r="F12" s="30" t="s">
        <v>0</v>
      </c>
      <c r="G12" s="30" t="s">
        <v>478</v>
      </c>
      <c r="H12" s="30" t="s">
        <v>478</v>
      </c>
      <c r="I12" s="29"/>
      <c r="J12" s="29"/>
      <c r="K12" s="8"/>
    </row>
    <row r="13" spans="1:11" ht="17.25" thickBot="1">
      <c r="A13" s="31" t="s">
        <v>24</v>
      </c>
      <c r="B13" s="32" t="s">
        <v>89</v>
      </c>
      <c r="C13" s="32" t="s">
        <v>90</v>
      </c>
      <c r="D13" s="32" t="s">
        <v>91</v>
      </c>
      <c r="E13" s="32" t="s">
        <v>92</v>
      </c>
      <c r="F13" s="32" t="s">
        <v>93</v>
      </c>
      <c r="G13" s="32" t="s">
        <v>94</v>
      </c>
      <c r="H13" s="32" t="s">
        <v>95</v>
      </c>
      <c r="I13" s="32" t="s">
        <v>165</v>
      </c>
      <c r="J13" s="32" t="s">
        <v>166</v>
      </c>
      <c r="K13" s="8"/>
    </row>
    <row r="14" spans="1:11" ht="16.5">
      <c r="A14" s="33" t="s">
        <v>7</v>
      </c>
      <c r="B14" s="33" t="s">
        <v>7</v>
      </c>
      <c r="C14" s="33" t="s">
        <v>7</v>
      </c>
      <c r="D14" s="34" t="s">
        <v>113</v>
      </c>
      <c r="E14" s="34"/>
      <c r="F14" s="33" t="s">
        <v>0</v>
      </c>
      <c r="G14" s="33" t="s">
        <v>7</v>
      </c>
      <c r="H14" s="33" t="s">
        <v>7</v>
      </c>
      <c r="I14" s="33" t="s">
        <v>15</v>
      </c>
      <c r="J14" s="33" t="s">
        <v>15</v>
      </c>
      <c r="K14" s="8"/>
    </row>
    <row r="15" spans="1:11" ht="16.5">
      <c r="A15" s="29"/>
      <c r="B15" s="29"/>
      <c r="C15" s="29"/>
      <c r="D15" s="29"/>
      <c r="E15" s="29"/>
      <c r="F15" s="29"/>
      <c r="G15" s="29"/>
      <c r="H15" s="8"/>
      <c r="I15" s="8"/>
      <c r="J15" s="8"/>
      <c r="K15" s="8"/>
    </row>
    <row r="16" spans="1:11" ht="16.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17.25">
      <c r="A17" s="56" t="str">
        <f>+'S&amp;D'!A22</f>
        <v>Canadian National</v>
      </c>
      <c r="B17" s="83" t="str">
        <f>+'S&amp;D'!B22</f>
        <v>CNI</v>
      </c>
      <c r="C17" s="83" t="str">
        <f>+'S&amp;D'!C22</f>
        <v>Railroad</v>
      </c>
      <c r="D17" s="53">
        <f>+'S&amp;D'!G22</f>
        <v>98.85</v>
      </c>
      <c r="E17" s="54">
        <f>+'S&amp;D'!D35</f>
        <v>60624705000</v>
      </c>
      <c r="F17" s="47">
        <f>+'Dividends '!H16</f>
        <v>2.8730399595346484E-2</v>
      </c>
      <c r="G17" s="47">
        <v>5.5E-2</v>
      </c>
      <c r="H17" s="47">
        <v>7.0000000000000007E-2</v>
      </c>
      <c r="I17" s="278">
        <f>+F17+G17</f>
        <v>8.3730399595346477E-2</v>
      </c>
      <c r="J17" s="278">
        <f>+F17+H17</f>
        <v>9.8730399595346491E-2</v>
      </c>
      <c r="K17" s="8"/>
    </row>
    <row r="18" spans="1:11" ht="17.25">
      <c r="A18" s="56" t="str">
        <f>+'S&amp;D'!A23</f>
        <v>Canadian Pacific Kansas City Limited  CPKC</v>
      </c>
      <c r="B18" s="83" t="str">
        <f>+'S&amp;D'!B23</f>
        <v>CP</v>
      </c>
      <c r="C18" s="83" t="str">
        <f>+'S&amp;D'!C23</f>
        <v>Railroad</v>
      </c>
      <c r="D18" s="53">
        <f>+'S&amp;D'!G23</f>
        <v>73.63</v>
      </c>
      <c r="E18" s="54">
        <f>+'S&amp;D'!D36</f>
        <v>66090287999.999992</v>
      </c>
      <c r="F18" s="47">
        <f>+'Dividends '!H17</f>
        <v>1.0186065462447373E-2</v>
      </c>
      <c r="G18" s="47">
        <v>0.09</v>
      </c>
      <c r="H18" s="47">
        <v>0.1</v>
      </c>
      <c r="I18" s="278">
        <f t="shared" ref="I18:I21" si="0">+F18+G18</f>
        <v>0.10018606546244738</v>
      </c>
      <c r="J18" s="278">
        <f t="shared" ref="J18:J21" si="1">+F18+H18</f>
        <v>0.11018606546244739</v>
      </c>
      <c r="K18" s="8"/>
    </row>
    <row r="19" spans="1:11" ht="17.25">
      <c r="A19" s="56" t="str">
        <f>+'S&amp;D'!A24</f>
        <v>CSX Corp</v>
      </c>
      <c r="B19" s="83" t="str">
        <f>+'S&amp;D'!B24</f>
        <v>CSX</v>
      </c>
      <c r="C19" s="83" t="str">
        <f>+'S&amp;D'!C24</f>
        <v>Railroad</v>
      </c>
      <c r="D19" s="53">
        <f>+'S&amp;D'!G24</f>
        <v>36.25</v>
      </c>
      <c r="E19" s="54">
        <f>+'S&amp;D'!D37</f>
        <v>67425000000</v>
      </c>
      <c r="F19" s="47">
        <f>+'Dividends '!H18</f>
        <v>1.7655172413793104E-2</v>
      </c>
      <c r="G19" s="47">
        <v>0.15</v>
      </c>
      <c r="H19" s="47">
        <v>8.5000000000000006E-2</v>
      </c>
      <c r="I19" s="278">
        <f t="shared" si="0"/>
        <v>0.1676551724137931</v>
      </c>
      <c r="J19" s="278">
        <f t="shared" si="1"/>
        <v>0.10265517241379311</v>
      </c>
      <c r="K19" s="8"/>
    </row>
    <row r="20" spans="1:11" ht="17.25">
      <c r="A20" s="56" t="str">
        <f>+'S&amp;D'!A25</f>
        <v>Norfolk Southern</v>
      </c>
      <c r="B20" s="83" t="str">
        <f>+'S&amp;D'!B25</f>
        <v>NSC</v>
      </c>
      <c r="C20" s="83" t="str">
        <f>+'S&amp;D'!C25</f>
        <v>Railroad</v>
      </c>
      <c r="D20" s="53">
        <f>+'S&amp;D'!G25</f>
        <v>288.72000000000003</v>
      </c>
      <c r="E20" s="54">
        <f>+'S&amp;D'!D38</f>
        <v>64794744215.280006</v>
      </c>
      <c r="F20" s="47">
        <f>+'Dividends '!H19</f>
        <v>1.8703241895261846E-2</v>
      </c>
      <c r="G20" s="47">
        <v>2.5000000000000001E-2</v>
      </c>
      <c r="H20" s="47">
        <v>8.5000000000000006E-2</v>
      </c>
      <c r="I20" s="278">
        <f t="shared" si="0"/>
        <v>4.3703241895261848E-2</v>
      </c>
      <c r="J20" s="278">
        <f t="shared" si="1"/>
        <v>0.10370324189526185</v>
      </c>
      <c r="K20" s="8"/>
    </row>
    <row r="21" spans="1:11" ht="18" thickBot="1">
      <c r="A21" s="56" t="str">
        <f>+'S&amp;D'!A26</f>
        <v>Union Pacific Railroad</v>
      </c>
      <c r="B21" s="83" t="str">
        <f>+'S&amp;D'!B26</f>
        <v>UNP</v>
      </c>
      <c r="C21" s="83" t="str">
        <f>+'S&amp;D'!C26</f>
        <v>Railroad</v>
      </c>
      <c r="D21" s="53">
        <f>+'S&amp;D'!G26</f>
        <v>231.32</v>
      </c>
      <c r="E21" s="54">
        <f>+'S&amp;D'!D39</f>
        <v>137229637886.87999</v>
      </c>
      <c r="F21" s="303">
        <f>+'Dividends '!H20</f>
        <v>2.593809441466367E-2</v>
      </c>
      <c r="G21" s="303">
        <v>7.4999999999999997E-2</v>
      </c>
      <c r="H21" s="303">
        <v>0.09</v>
      </c>
      <c r="I21" s="304">
        <f t="shared" si="0"/>
        <v>0.10093809441466367</v>
      </c>
      <c r="J21" s="304">
        <f t="shared" si="1"/>
        <v>0.11593809441466367</v>
      </c>
      <c r="K21" s="8"/>
    </row>
    <row r="22" spans="1:11" ht="17.25" thickTop="1">
      <c r="A22" s="8"/>
      <c r="B22" s="8"/>
      <c r="C22" s="10" t="s">
        <v>0</v>
      </c>
      <c r="D22" s="11" t="s">
        <v>0</v>
      </c>
      <c r="E22" s="11" t="s">
        <v>46</v>
      </c>
      <c r="F22" s="353">
        <f>MAX(F17:F21)</f>
        <v>2.8730399595346484E-2</v>
      </c>
      <c r="G22" s="269">
        <f t="shared" ref="G22:J22" si="2">MAX(G17:G21)</f>
        <v>0.15</v>
      </c>
      <c r="H22" s="269">
        <f t="shared" si="2"/>
        <v>0.1</v>
      </c>
      <c r="I22" s="269">
        <f t="shared" si="2"/>
        <v>0.1676551724137931</v>
      </c>
      <c r="J22" s="269">
        <f t="shared" si="2"/>
        <v>0.11593809441466367</v>
      </c>
      <c r="K22" s="8"/>
    </row>
    <row r="23" spans="1:11" ht="16.5">
      <c r="A23" s="8"/>
      <c r="B23" s="8"/>
      <c r="C23" s="10"/>
      <c r="D23" s="11"/>
      <c r="E23" s="11" t="s">
        <v>47</v>
      </c>
      <c r="F23" s="352">
        <f>MIN(F17:F21)</f>
        <v>1.0186065462447373E-2</v>
      </c>
      <c r="G23" s="282">
        <f t="shared" ref="G23:J23" si="3">MIN(G17:G21)</f>
        <v>2.5000000000000001E-2</v>
      </c>
      <c r="H23" s="282">
        <f t="shared" si="3"/>
        <v>7.0000000000000007E-2</v>
      </c>
      <c r="I23" s="282">
        <f t="shared" si="3"/>
        <v>4.3703241895261848E-2</v>
      </c>
      <c r="J23" s="282">
        <f t="shared" si="3"/>
        <v>9.8730399595346491E-2</v>
      </c>
      <c r="K23" s="8"/>
    </row>
    <row r="24" spans="1:11" ht="16.5">
      <c r="A24" s="8"/>
      <c r="B24" s="8"/>
      <c r="D24" s="13" t="s">
        <v>0</v>
      </c>
      <c r="E24" s="10" t="s">
        <v>18</v>
      </c>
      <c r="F24" s="48">
        <f>MEDIAN(F17:F21)</f>
        <v>1.8703241895261846E-2</v>
      </c>
      <c r="G24" s="273">
        <f>MEDIAN(G17:G21)</f>
        <v>7.4999999999999997E-2</v>
      </c>
      <c r="H24" s="273">
        <f>MEDIAN(H17:H21)</f>
        <v>8.5000000000000006E-2</v>
      </c>
      <c r="I24" s="274">
        <f>MEDIAN(I17:I21)</f>
        <v>0.10018606546244738</v>
      </c>
      <c r="J24" s="274">
        <f>MEDIAN(J17:J21)</f>
        <v>0.10370324189526185</v>
      </c>
      <c r="K24" s="8"/>
    </row>
    <row r="25" spans="1:11" ht="16.5">
      <c r="A25" s="8"/>
      <c r="B25" s="8"/>
      <c r="D25" s="17" t="s">
        <v>0</v>
      </c>
      <c r="E25" s="10" t="s">
        <v>375</v>
      </c>
      <c r="F25" s="48">
        <f>AVERAGE(F17:F21)</f>
        <v>2.0242594756302495E-2</v>
      </c>
      <c r="G25" s="48">
        <f>AVERAGE(G17:G21)</f>
        <v>7.9000000000000001E-2</v>
      </c>
      <c r="H25" s="273">
        <f>AVERAGE(H17:H21)</f>
        <v>8.6000000000000007E-2</v>
      </c>
      <c r="I25" s="274">
        <f>AVERAGE(I17:I21)</f>
        <v>9.9242594756302496E-2</v>
      </c>
      <c r="J25" s="274">
        <f>AVERAGE(J17:J21)</f>
        <v>0.10624259475630252</v>
      </c>
      <c r="K25" s="8"/>
    </row>
    <row r="26" spans="1:11" ht="16.5">
      <c r="A26" s="8"/>
      <c r="B26" s="8"/>
      <c r="D26" s="17"/>
      <c r="E26" s="10"/>
      <c r="F26" s="14"/>
      <c r="G26" s="14"/>
      <c r="H26" s="15"/>
      <c r="I26" s="16"/>
      <c r="J26" s="16"/>
      <c r="K26" s="8"/>
    </row>
    <row r="27" spans="1:11" ht="17.25" thickBo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27" thickBot="1">
      <c r="A28" s="8"/>
      <c r="B28" s="8"/>
      <c r="C28" s="8"/>
      <c r="D28" s="8"/>
      <c r="E28" s="8"/>
      <c r="F28" s="8"/>
      <c r="G28" s="157" t="s">
        <v>170</v>
      </c>
      <c r="H28" s="159"/>
      <c r="I28" s="275">
        <v>9.9199999999999997E-2</v>
      </c>
      <c r="J28" s="8"/>
      <c r="K28" s="8"/>
    </row>
    <row r="29" spans="1:11" ht="20.25" customHeight="1" thickBo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ht="27" thickBot="1">
      <c r="A30" s="8"/>
      <c r="B30" s="8"/>
      <c r="C30" s="8"/>
      <c r="D30" s="8"/>
      <c r="E30" s="8"/>
      <c r="F30" s="8"/>
      <c r="G30" s="157" t="s">
        <v>169</v>
      </c>
      <c r="H30" s="160"/>
      <c r="I30" s="275">
        <v>0.1062</v>
      </c>
      <c r="J30" s="8"/>
      <c r="K30" s="8"/>
    </row>
    <row r="31" spans="1:11" ht="16.5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1" ht="26.25">
      <c r="A32" s="19" t="s">
        <v>333</v>
      </c>
      <c r="B32" s="8"/>
      <c r="C32" s="19" t="s">
        <v>332</v>
      </c>
      <c r="D32" s="8"/>
      <c r="E32" s="8"/>
      <c r="F32" s="8"/>
      <c r="G32" s="8"/>
      <c r="H32" s="8"/>
      <c r="I32" s="8"/>
      <c r="J32" s="8"/>
    </row>
    <row r="33" spans="1:10" ht="17.25">
      <c r="A33" s="56" t="s">
        <v>336</v>
      </c>
      <c r="B33" s="8"/>
      <c r="C33" s="56" t="s">
        <v>336</v>
      </c>
      <c r="D33" s="8"/>
      <c r="E33" s="8"/>
      <c r="F33" s="8"/>
      <c r="G33" s="8"/>
      <c r="H33" s="8"/>
      <c r="I33" s="8"/>
      <c r="J33" s="8"/>
    </row>
    <row r="34" spans="1:10" ht="17.25">
      <c r="A34" s="56" t="s">
        <v>335</v>
      </c>
      <c r="B34" s="8"/>
      <c r="C34" s="56" t="s">
        <v>334</v>
      </c>
      <c r="D34" s="8"/>
      <c r="E34" s="8"/>
      <c r="F34" s="8"/>
      <c r="G34" s="8"/>
      <c r="H34" s="8"/>
      <c r="I34" s="8"/>
      <c r="J34" s="8"/>
    </row>
    <row r="35" spans="1:10" ht="16.5">
      <c r="A35" s="38"/>
      <c r="B35" s="8"/>
      <c r="C35" s="38"/>
      <c r="D35" s="8"/>
      <c r="E35" s="8"/>
      <c r="F35" s="8"/>
      <c r="G35" s="8"/>
      <c r="H35" s="8"/>
      <c r="I35" s="8"/>
      <c r="J35" s="8"/>
    </row>
    <row r="36" spans="1:10" ht="16.5">
      <c r="A36" s="38"/>
      <c r="B36" s="8"/>
      <c r="C36" s="38"/>
      <c r="D36" s="8"/>
      <c r="E36" s="8"/>
      <c r="F36" s="8"/>
      <c r="G36" s="8"/>
      <c r="H36" s="8"/>
      <c r="I36" s="8"/>
      <c r="J36" s="8"/>
    </row>
    <row r="37" spans="1:10" ht="26.25">
      <c r="A37" s="19" t="s">
        <v>192</v>
      </c>
      <c r="B37" s="8"/>
      <c r="C37" s="19" t="s">
        <v>192</v>
      </c>
      <c r="D37" s="8"/>
      <c r="E37" s="8"/>
      <c r="F37" s="8"/>
      <c r="G37" s="8"/>
      <c r="H37" s="8"/>
      <c r="I37" s="8"/>
      <c r="J37" s="8"/>
    </row>
    <row r="38" spans="1:10" ht="16.5">
      <c r="A38" s="38"/>
      <c r="B38" s="8"/>
      <c r="C38" s="38"/>
      <c r="D38" s="8"/>
      <c r="E38" s="8"/>
      <c r="F38" s="8"/>
      <c r="G38" s="8"/>
      <c r="H38" s="8"/>
      <c r="I38" s="8"/>
      <c r="J38" s="8"/>
    </row>
    <row r="39" spans="1:10" ht="17.25">
      <c r="A39" s="56" t="s">
        <v>193</v>
      </c>
      <c r="B39" s="8"/>
      <c r="C39" s="56" t="s">
        <v>193</v>
      </c>
      <c r="D39" s="8"/>
      <c r="E39" s="8"/>
      <c r="F39" s="8"/>
      <c r="G39" s="8"/>
      <c r="H39" s="8"/>
      <c r="I39" s="8"/>
      <c r="J39" s="8"/>
    </row>
    <row r="40" spans="1:10" ht="17.25">
      <c r="A40" s="56" t="s">
        <v>191</v>
      </c>
      <c r="B40" s="8"/>
      <c r="C40" s="56" t="s">
        <v>191</v>
      </c>
      <c r="D40" s="8"/>
      <c r="E40" s="8"/>
      <c r="F40" s="8"/>
      <c r="G40" s="8"/>
      <c r="H40" s="8"/>
      <c r="I40" s="8"/>
      <c r="J40" s="8"/>
    </row>
    <row r="41" spans="1:10" ht="17.25">
      <c r="A41" s="56" t="s">
        <v>194</v>
      </c>
      <c r="B41" s="8"/>
      <c r="C41" s="56" t="s">
        <v>194</v>
      </c>
      <c r="D41" s="8"/>
      <c r="E41" s="8"/>
      <c r="F41" s="8"/>
      <c r="G41" s="8"/>
      <c r="H41" s="8"/>
      <c r="I41" s="8"/>
      <c r="J41" s="8"/>
    </row>
    <row r="42" spans="1:10" ht="17.25">
      <c r="A42" s="56" t="s">
        <v>338</v>
      </c>
      <c r="B42" s="8"/>
      <c r="C42" s="56" t="s">
        <v>337</v>
      </c>
      <c r="D42" s="8"/>
      <c r="E42" s="8"/>
      <c r="F42" s="8"/>
      <c r="G42" s="8"/>
      <c r="H42" s="8"/>
      <c r="I42" s="8"/>
      <c r="J42" s="8"/>
    </row>
    <row r="43" spans="1:10" ht="17.25">
      <c r="A43" s="56"/>
      <c r="B43" s="8"/>
      <c r="C43" s="56"/>
      <c r="D43" s="8"/>
      <c r="E43" s="8"/>
      <c r="F43" s="8"/>
      <c r="G43" s="8"/>
      <c r="H43" s="8"/>
      <c r="I43" s="8"/>
      <c r="J43" s="8"/>
    </row>
  </sheetData>
  <phoneticPr fontId="80" type="noConversion"/>
  <pageMargins left="0.25" right="0.25" top="0.75" bottom="0.75" header="0.3" footer="0.3"/>
  <pageSetup scale="5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50D5-3409-4DE1-88B0-B66A1BCAC2E5}">
  <sheetPr>
    <tabColor rgb="FF92D050"/>
  </sheetPr>
  <dimension ref="A1:K105"/>
  <sheetViews>
    <sheetView view="pageBreakPreview" topLeftCell="A8" zoomScale="70" zoomScaleNormal="80" zoomScaleSheetLayoutView="70" workbookViewId="0">
      <selection activeCell="H33" sqref="H33"/>
    </sheetView>
  </sheetViews>
  <sheetFormatPr defaultRowHeight="15"/>
  <cols>
    <col min="1" max="1" width="47.85546875" customWidth="1"/>
    <col min="2" max="2" width="15.28515625" customWidth="1"/>
    <col min="3" max="3" width="24.5703125" customWidth="1"/>
    <col min="4" max="4" width="26.5703125" customWidth="1"/>
    <col min="5" max="5" width="30.7109375" customWidth="1"/>
    <col min="6" max="6" width="22.42578125" customWidth="1"/>
    <col min="7" max="7" width="27" customWidth="1"/>
    <col min="8" max="8" width="39.85546875" customWidth="1"/>
    <col min="9" max="9" width="15.28515625" customWidth="1"/>
    <col min="10" max="10" width="24.5703125" customWidth="1"/>
    <col min="11" max="11" width="24.140625" customWidth="1"/>
    <col min="13" max="13" width="10.5703125" customWidth="1"/>
  </cols>
  <sheetData>
    <row r="1" spans="1:9" ht="26.25">
      <c r="A1" s="19" t="s">
        <v>1</v>
      </c>
      <c r="B1" s="8"/>
      <c r="C1" s="8"/>
      <c r="D1" s="8"/>
      <c r="E1" s="8"/>
      <c r="F1" s="8"/>
      <c r="G1" s="8"/>
      <c r="H1" s="8"/>
      <c r="I1" s="8"/>
    </row>
    <row r="2" spans="1:9" ht="17.25">
      <c r="A2" s="20" t="s">
        <v>9</v>
      </c>
      <c r="B2" s="8"/>
      <c r="C2" s="8"/>
      <c r="D2" s="8"/>
      <c r="E2" s="8"/>
      <c r="F2" s="8"/>
      <c r="G2" s="8"/>
      <c r="H2" s="8"/>
      <c r="I2" s="8"/>
    </row>
    <row r="3" spans="1:9" ht="16.5">
      <c r="A3" s="21" t="s">
        <v>457</v>
      </c>
      <c r="B3" s="8"/>
      <c r="C3" s="8"/>
      <c r="D3" s="8"/>
      <c r="E3" s="8"/>
      <c r="F3" s="8"/>
      <c r="G3" s="8"/>
      <c r="H3" s="8"/>
      <c r="I3" s="8"/>
    </row>
    <row r="4" spans="1:9" ht="16.5">
      <c r="A4" s="21"/>
      <c r="B4" s="8"/>
      <c r="C4" s="8"/>
      <c r="D4" s="8"/>
      <c r="E4" s="8"/>
      <c r="F4" s="8"/>
      <c r="G4" s="8"/>
      <c r="H4" s="8"/>
      <c r="I4" s="8"/>
    </row>
    <row r="5" spans="1:9" ht="17.25" thickBot="1">
      <c r="A5" s="8"/>
      <c r="B5" s="8"/>
      <c r="C5" s="8"/>
      <c r="D5" s="8"/>
      <c r="E5" s="8"/>
      <c r="F5" s="8"/>
      <c r="G5" s="8"/>
      <c r="H5" s="8"/>
      <c r="I5" s="22"/>
    </row>
    <row r="6" spans="1:9" ht="21" thickBot="1">
      <c r="A6" s="223" t="str">
        <f>+'S&amp;D'!A12</f>
        <v>Railroad Carriers</v>
      </c>
      <c r="B6" s="160"/>
      <c r="C6" s="8"/>
      <c r="D6" s="8"/>
      <c r="E6" s="8"/>
      <c r="F6" s="8"/>
      <c r="G6" s="8"/>
      <c r="H6" s="8"/>
      <c r="I6" s="8"/>
    </row>
    <row r="7" spans="1:9" ht="20.25">
      <c r="A7" s="25"/>
      <c r="B7" s="8"/>
      <c r="C7" s="8"/>
      <c r="D7" s="8"/>
      <c r="E7" s="8"/>
      <c r="F7" s="8"/>
      <c r="G7" s="8"/>
      <c r="H7" s="8"/>
      <c r="I7" s="8"/>
    </row>
    <row r="8" spans="1:9" ht="21" thickBot="1">
      <c r="A8" s="25"/>
      <c r="B8" s="8"/>
      <c r="C8" s="8"/>
      <c r="D8" s="24"/>
      <c r="E8" s="24"/>
      <c r="F8" s="24"/>
      <c r="G8" s="8"/>
      <c r="H8" s="8"/>
      <c r="I8" s="8"/>
    </row>
    <row r="9" spans="1:9" ht="26.25">
      <c r="A9" s="25"/>
      <c r="B9" s="8"/>
      <c r="C9" s="8"/>
      <c r="D9" s="8"/>
      <c r="E9" s="26" t="s">
        <v>171</v>
      </c>
      <c r="F9" s="8"/>
      <c r="G9" s="8"/>
      <c r="H9" s="8"/>
      <c r="I9" s="8"/>
    </row>
    <row r="10" spans="1:9" ht="21" thickBot="1">
      <c r="A10" s="25"/>
      <c r="B10" s="8"/>
      <c r="C10" s="8"/>
      <c r="D10" s="24"/>
      <c r="E10" s="27" t="s">
        <v>470</v>
      </c>
      <c r="F10" s="24"/>
      <c r="G10" s="8"/>
      <c r="H10" s="8"/>
      <c r="I10" s="8"/>
    </row>
    <row r="11" spans="1:9" ht="20.25">
      <c r="A11" s="25"/>
      <c r="B11" s="8"/>
      <c r="C11" s="8"/>
      <c r="D11" s="8"/>
      <c r="E11" s="8"/>
      <c r="F11" s="29"/>
      <c r="G11" s="29"/>
      <c r="H11" s="8"/>
      <c r="I11" s="8"/>
    </row>
    <row r="12" spans="1:9" ht="20.25">
      <c r="A12" s="25"/>
      <c r="B12" s="8"/>
      <c r="C12" s="8"/>
      <c r="D12" s="8" t="s">
        <v>0</v>
      </c>
      <c r="E12" s="8"/>
      <c r="F12" s="29"/>
      <c r="G12" s="29"/>
      <c r="H12" s="8"/>
      <c r="I12" s="8"/>
    </row>
    <row r="13" spans="1:9" ht="45.75" customHeight="1" thickBot="1">
      <c r="A13" s="28" t="s">
        <v>0</v>
      </c>
      <c r="B13" s="28" t="s">
        <v>0</v>
      </c>
      <c r="C13" s="28" t="s">
        <v>0</v>
      </c>
      <c r="D13" s="24"/>
      <c r="E13" s="24"/>
      <c r="F13" s="28" t="s">
        <v>0</v>
      </c>
      <c r="G13" s="28"/>
      <c r="H13" s="28"/>
      <c r="I13" s="8"/>
    </row>
    <row r="14" spans="1:9" ht="16.5">
      <c r="A14" s="29" t="s">
        <v>0</v>
      </c>
      <c r="B14" s="29" t="s">
        <v>3</v>
      </c>
      <c r="C14" s="29" t="s">
        <v>5</v>
      </c>
      <c r="D14" s="29" t="s">
        <v>167</v>
      </c>
      <c r="E14" s="29" t="s">
        <v>168</v>
      </c>
      <c r="F14" s="29" t="s">
        <v>172</v>
      </c>
      <c r="G14" s="29" t="s">
        <v>19</v>
      </c>
      <c r="H14" s="29" t="s">
        <v>175</v>
      </c>
      <c r="I14" s="8"/>
    </row>
    <row r="15" spans="1:9" ht="16.5">
      <c r="A15" s="29" t="s">
        <v>2</v>
      </c>
      <c r="B15" s="29" t="s">
        <v>4</v>
      </c>
      <c r="C15" s="29" t="s">
        <v>6</v>
      </c>
      <c r="D15" s="29" t="s">
        <v>0</v>
      </c>
      <c r="E15" s="29" t="s">
        <v>174</v>
      </c>
      <c r="F15" s="29" t="s">
        <v>123</v>
      </c>
      <c r="G15" s="29" t="s">
        <v>173</v>
      </c>
      <c r="H15" s="29" t="s">
        <v>163</v>
      </c>
      <c r="I15" s="8"/>
    </row>
    <row r="16" spans="1:9" ht="16.5">
      <c r="A16" s="29"/>
      <c r="B16" s="29" t="s">
        <v>0</v>
      </c>
      <c r="C16" s="29" t="s">
        <v>0</v>
      </c>
      <c r="D16" s="29" t="s">
        <v>0</v>
      </c>
      <c r="E16" s="29" t="s">
        <v>173</v>
      </c>
      <c r="F16" s="30" t="s">
        <v>0</v>
      </c>
      <c r="G16" s="29" t="s">
        <v>179</v>
      </c>
      <c r="H16" s="30" t="s">
        <v>180</v>
      </c>
      <c r="I16" s="8"/>
    </row>
    <row r="17" spans="1:11" ht="18" customHeight="1" thickBot="1">
      <c r="A17" s="60" t="s">
        <v>0</v>
      </c>
      <c r="B17" s="32" t="s">
        <v>0</v>
      </c>
      <c r="C17" s="32" t="s">
        <v>0</v>
      </c>
      <c r="D17" s="27" t="s">
        <v>177</v>
      </c>
      <c r="E17" s="27" t="s">
        <v>178</v>
      </c>
      <c r="F17" s="27" t="s">
        <v>176</v>
      </c>
      <c r="G17" s="29" t="s">
        <v>94</v>
      </c>
      <c r="H17" s="129"/>
      <c r="I17" s="8"/>
    </row>
    <row r="18" spans="1:11" ht="16.5">
      <c r="A18" s="33" t="s">
        <v>0</v>
      </c>
      <c r="B18" s="33" t="s">
        <v>0</v>
      </c>
      <c r="C18" s="33" t="s">
        <v>0</v>
      </c>
      <c r="D18" s="33" t="s">
        <v>7</v>
      </c>
      <c r="E18" s="33" t="s">
        <v>7</v>
      </c>
      <c r="F18" s="33" t="s">
        <v>0</v>
      </c>
      <c r="G18" s="61" t="s">
        <v>0</v>
      </c>
      <c r="H18" s="33" t="s">
        <v>0</v>
      </c>
      <c r="I18" s="8"/>
    </row>
    <row r="19" spans="1:11" ht="16.5">
      <c r="A19" s="29"/>
      <c r="B19" s="29"/>
      <c r="C19" s="29"/>
      <c r="D19" s="29"/>
      <c r="E19" s="8"/>
      <c r="F19" s="29"/>
      <c r="G19" s="8"/>
      <c r="H19" s="8"/>
      <c r="I19" s="8"/>
      <c r="J19" t="s">
        <v>0</v>
      </c>
      <c r="K19" t="s">
        <v>0</v>
      </c>
    </row>
    <row r="20" spans="1:11" ht="16.5">
      <c r="A20" s="8"/>
      <c r="B20" s="8"/>
      <c r="C20" s="8"/>
      <c r="D20" s="8"/>
      <c r="E20" s="8"/>
      <c r="F20" s="8"/>
      <c r="G20" s="8"/>
      <c r="H20" s="8" t="s">
        <v>0</v>
      </c>
      <c r="I20" s="8"/>
      <c r="J20" t="s">
        <v>0</v>
      </c>
      <c r="K20" t="s">
        <v>0</v>
      </c>
    </row>
    <row r="21" spans="1:11" ht="17.25">
      <c r="A21" s="56" t="str">
        <f>+'S&amp;D'!A22</f>
        <v>Canadian National</v>
      </c>
      <c r="B21" s="83" t="str">
        <f>+'S&amp;D'!B22</f>
        <v>CNI</v>
      </c>
      <c r="C21" s="29" t="str">
        <f>+'S&amp;D'!C22</f>
        <v>Railroad</v>
      </c>
      <c r="D21" s="59">
        <f>+'Dividends '!H16</f>
        <v>2.8730399595346484E-2</v>
      </c>
      <c r="E21" s="59">
        <f>+'Single Stage Div Growth Model'!H17</f>
        <v>7.0000000000000007E-2</v>
      </c>
      <c r="F21" s="59">
        <f>+'Growth &amp; Inflation Rates'!F56</f>
        <v>4.2900000000000001E-2</v>
      </c>
      <c r="G21" s="59">
        <f t="shared" ref="G21" si="0">(F21+E21)/2</f>
        <v>5.645E-2</v>
      </c>
      <c r="H21" s="59">
        <f>D21*(1+(0.5*G21))+(0.67*E21)+(0.33*F21)</f>
        <v>9.0598315123925147E-2</v>
      </c>
      <c r="I21" s="8"/>
      <c r="J21" t="s">
        <v>0</v>
      </c>
      <c r="K21" t="s">
        <v>0</v>
      </c>
    </row>
    <row r="22" spans="1:11" ht="17.25">
      <c r="A22" s="56" t="str">
        <f>+'S&amp;D'!A23</f>
        <v>Canadian Pacific Kansas City Limited  CPKC</v>
      </c>
      <c r="B22" s="83" t="str">
        <f>+'S&amp;D'!B23</f>
        <v>CP</v>
      </c>
      <c r="C22" s="29" t="str">
        <f>+'S&amp;D'!C23</f>
        <v>Railroad</v>
      </c>
      <c r="D22" s="59">
        <f>+'Dividends '!H17</f>
        <v>1.0186065462447373E-2</v>
      </c>
      <c r="E22" s="59">
        <f>+'Single Stage Div Growth Model'!H18</f>
        <v>0.1</v>
      </c>
      <c r="F22" s="59">
        <f>+F21</f>
        <v>4.2900000000000001E-2</v>
      </c>
      <c r="G22" s="59">
        <f t="shared" ref="G22:G25" si="1">(F22+E22)/2</f>
        <v>7.145E-2</v>
      </c>
      <c r="H22" s="59">
        <f t="shared" ref="H22:H25" si="2">D22*(1+(0.5*G22))+(0.67*E22)+(0.33*F22)</f>
        <v>9.1706962651093307E-2</v>
      </c>
      <c r="I22" s="8"/>
    </row>
    <row r="23" spans="1:11" ht="17.25">
      <c r="A23" s="56" t="str">
        <f>+'S&amp;D'!A24</f>
        <v>CSX Corp</v>
      </c>
      <c r="B23" s="83" t="str">
        <f>+'S&amp;D'!B24</f>
        <v>CSX</v>
      </c>
      <c r="C23" s="29" t="str">
        <f>+'S&amp;D'!C24</f>
        <v>Railroad</v>
      </c>
      <c r="D23" s="59">
        <f>+'Dividends '!H18</f>
        <v>1.7655172413793104E-2</v>
      </c>
      <c r="E23" s="59">
        <f>+'Single Stage Div Growth Model'!H19</f>
        <v>8.5000000000000006E-2</v>
      </c>
      <c r="F23" s="59">
        <f>+F21</f>
        <v>4.2900000000000001E-2</v>
      </c>
      <c r="G23" s="59">
        <f t="shared" si="1"/>
        <v>6.3950000000000007E-2</v>
      </c>
      <c r="H23" s="59">
        <f t="shared" si="2"/>
        <v>8.932669655172415E-2</v>
      </c>
      <c r="I23" s="8"/>
    </row>
    <row r="24" spans="1:11" ht="17.25">
      <c r="A24" s="56" t="str">
        <f>+'S&amp;D'!A25</f>
        <v>Norfolk Southern</v>
      </c>
      <c r="B24" s="83" t="str">
        <f>+'S&amp;D'!B25</f>
        <v>NSC</v>
      </c>
      <c r="C24" s="29" t="str">
        <f>+'S&amp;D'!C25</f>
        <v>Railroad</v>
      </c>
      <c r="D24" s="59">
        <f>+'Dividends '!H19</f>
        <v>1.8703241895261846E-2</v>
      </c>
      <c r="E24" s="59">
        <f>+'Single Stage Div Growth Model'!H20</f>
        <v>8.5000000000000006E-2</v>
      </c>
      <c r="F24" s="59">
        <f>+F21</f>
        <v>4.2900000000000001E-2</v>
      </c>
      <c r="G24" s="59">
        <f t="shared" si="1"/>
        <v>6.3950000000000007E-2</v>
      </c>
      <c r="H24" s="59">
        <f t="shared" si="2"/>
        <v>9.0408278054862859E-2</v>
      </c>
      <c r="I24" s="8"/>
    </row>
    <row r="25" spans="1:11" ht="18" thickBot="1">
      <c r="A25" s="56" t="str">
        <f>+'S&amp;D'!A26</f>
        <v>Union Pacific Railroad</v>
      </c>
      <c r="B25" s="83" t="str">
        <f>+'S&amp;D'!B26</f>
        <v>UNP</v>
      </c>
      <c r="C25" s="29" t="str">
        <f>+'S&amp;D'!C26</f>
        <v>Railroad</v>
      </c>
      <c r="D25" s="59">
        <f>+'Dividends '!H20</f>
        <v>2.593809441466367E-2</v>
      </c>
      <c r="E25" s="59">
        <f>+'Single Stage Div Growth Model'!H21</f>
        <v>0.09</v>
      </c>
      <c r="F25" s="59">
        <f>+F21</f>
        <v>4.2900000000000001E-2</v>
      </c>
      <c r="G25" s="305">
        <f t="shared" si="1"/>
        <v>6.6449999999999995E-2</v>
      </c>
      <c r="H25" s="305">
        <f t="shared" si="2"/>
        <v>0.10125688760159088</v>
      </c>
      <c r="I25" s="8"/>
    </row>
    <row r="26" spans="1:11" ht="17.25" thickTop="1">
      <c r="A26" s="8"/>
      <c r="B26" s="8"/>
      <c r="C26" s="8"/>
      <c r="D26" s="8"/>
      <c r="E26" s="8"/>
      <c r="F26" s="8"/>
      <c r="G26" s="151" t="s">
        <v>46</v>
      </c>
      <c r="H26" s="49">
        <f>MAX(H21:H25)</f>
        <v>0.10125688760159088</v>
      </c>
      <c r="I26" s="8"/>
    </row>
    <row r="27" spans="1:11" ht="16.5">
      <c r="A27" s="8"/>
      <c r="B27" s="8"/>
      <c r="C27" s="10" t="s">
        <v>0</v>
      </c>
      <c r="D27" s="11" t="s">
        <v>0</v>
      </c>
      <c r="E27" s="11" t="s">
        <v>0</v>
      </c>
      <c r="F27" s="12" t="s">
        <v>0</v>
      </c>
      <c r="G27" s="281" t="s">
        <v>47</v>
      </c>
      <c r="H27" s="268">
        <f>MIN(H21:H25)</f>
        <v>8.932669655172415E-2</v>
      </c>
      <c r="I27" s="8"/>
    </row>
    <row r="28" spans="1:11" ht="16.5">
      <c r="A28" s="8"/>
      <c r="B28" s="8"/>
      <c r="D28" s="49" t="s">
        <v>0</v>
      </c>
      <c r="E28" s="44" t="s">
        <v>0</v>
      </c>
      <c r="F28" s="44" t="s">
        <v>0</v>
      </c>
      <c r="G28" s="10" t="s">
        <v>18</v>
      </c>
      <c r="H28" s="45">
        <f>MEDIAN(H21:H25)</f>
        <v>9.0598315123925147E-2</v>
      </c>
      <c r="I28" s="8"/>
    </row>
    <row r="29" spans="1:11" ht="16.5">
      <c r="A29" s="8"/>
      <c r="B29" s="8"/>
      <c r="D29" s="49" t="s">
        <v>0</v>
      </c>
      <c r="E29" s="44" t="s">
        <v>0</v>
      </c>
      <c r="F29" s="49" t="s">
        <v>0</v>
      </c>
      <c r="G29" s="10" t="s">
        <v>375</v>
      </c>
      <c r="H29" s="45">
        <f>AVERAGE(H21:H25)</f>
        <v>9.265942799663926E-2</v>
      </c>
      <c r="I29" s="8"/>
    </row>
    <row r="30" spans="1:11" ht="16.5">
      <c r="A30" s="8"/>
      <c r="B30" s="8"/>
      <c r="C30" s="10"/>
      <c r="D30" s="14" t="s">
        <v>0</v>
      </c>
      <c r="E30" s="15"/>
      <c r="F30" s="14"/>
      <c r="G30" s="16"/>
      <c r="H30" s="16"/>
      <c r="I30" s="8"/>
    </row>
    <row r="31" spans="1:11" ht="17.25" thickBot="1">
      <c r="A31" s="8"/>
      <c r="B31" s="8"/>
      <c r="C31" s="8"/>
      <c r="D31" s="8"/>
      <c r="E31" s="8"/>
      <c r="F31" s="8"/>
      <c r="G31" s="8"/>
      <c r="H31" s="8"/>
      <c r="I31" s="8"/>
    </row>
    <row r="32" spans="1:11" ht="27" thickBot="1">
      <c r="A32" s="8"/>
      <c r="B32" s="8"/>
      <c r="C32" s="8"/>
      <c r="D32" s="8"/>
      <c r="F32" s="157"/>
      <c r="G32" s="158" t="s">
        <v>224</v>
      </c>
      <c r="H32" s="276">
        <v>9.2700000000000005E-2</v>
      </c>
      <c r="I32" s="8"/>
    </row>
    <row r="33" spans="1:9" ht="16.5">
      <c r="A33" s="8"/>
      <c r="B33" s="8"/>
      <c r="C33" s="8"/>
      <c r="D33" s="8"/>
      <c r="E33" s="8"/>
      <c r="F33" s="8"/>
      <c r="G33" s="8"/>
      <c r="H33" s="8"/>
      <c r="I33" s="8"/>
    </row>
    <row r="34" spans="1:9" ht="27">
      <c r="A34" s="19" t="s">
        <v>0</v>
      </c>
      <c r="B34" s="8"/>
      <c r="C34" s="8"/>
      <c r="D34" s="8"/>
      <c r="E34" s="8"/>
      <c r="F34" s="8"/>
      <c r="G34" s="18" t="s">
        <v>0</v>
      </c>
      <c r="H34" s="8"/>
      <c r="I34" s="8"/>
    </row>
    <row r="35" spans="1:9" ht="16.5">
      <c r="A35" s="38"/>
      <c r="B35" s="8"/>
      <c r="C35" s="8"/>
      <c r="D35" s="8"/>
      <c r="E35" s="8"/>
      <c r="F35" s="8"/>
      <c r="G35" s="8"/>
      <c r="H35" s="8"/>
      <c r="I35" s="8"/>
    </row>
    <row r="36" spans="1:9" ht="26.25">
      <c r="A36" s="19" t="s">
        <v>285</v>
      </c>
      <c r="B36" s="8"/>
      <c r="C36" s="8"/>
      <c r="D36" s="8"/>
      <c r="E36" s="8"/>
      <c r="F36" s="8"/>
      <c r="G36" s="8"/>
      <c r="H36" s="8"/>
      <c r="I36" s="8"/>
    </row>
    <row r="37" spans="1:9" ht="16.5">
      <c r="A37" s="38"/>
      <c r="B37" s="8"/>
      <c r="C37" s="8"/>
      <c r="D37" s="8"/>
      <c r="E37" s="8"/>
      <c r="F37" s="8"/>
      <c r="G37" s="8"/>
      <c r="H37" s="8"/>
      <c r="I37" s="8"/>
    </row>
    <row r="38" spans="1:9" ht="17.25">
      <c r="A38" s="56" t="s">
        <v>193</v>
      </c>
      <c r="B38" s="8"/>
      <c r="C38" s="8"/>
      <c r="D38" s="8"/>
      <c r="E38" s="8"/>
      <c r="F38" s="8"/>
      <c r="G38" s="8"/>
      <c r="H38" s="8"/>
      <c r="I38" s="8"/>
    </row>
    <row r="39" spans="1:9" ht="17.25">
      <c r="A39" s="56" t="s">
        <v>288</v>
      </c>
      <c r="B39" s="8"/>
      <c r="C39" s="8"/>
      <c r="D39" s="8"/>
      <c r="E39" s="8"/>
      <c r="F39" s="8"/>
      <c r="G39" s="8"/>
      <c r="H39" s="8"/>
      <c r="I39" s="8"/>
    </row>
    <row r="40" spans="1:9" ht="17.25">
      <c r="A40" s="56" t="s">
        <v>286</v>
      </c>
      <c r="B40" s="8"/>
      <c r="C40" s="8"/>
      <c r="D40" s="8"/>
      <c r="E40" s="8"/>
      <c r="F40" s="8"/>
      <c r="G40" s="8"/>
      <c r="H40" s="8"/>
      <c r="I40" s="8"/>
    </row>
    <row r="41" spans="1:9" ht="17.25">
      <c r="A41" s="56" t="s">
        <v>287</v>
      </c>
      <c r="B41" s="8"/>
      <c r="C41" s="8"/>
      <c r="D41" s="8"/>
      <c r="E41" s="8"/>
      <c r="F41" s="8"/>
      <c r="G41" s="8"/>
      <c r="H41" s="8"/>
      <c r="I41" s="8"/>
    </row>
    <row r="42" spans="1:9" ht="17.25">
      <c r="A42" s="56" t="s">
        <v>289</v>
      </c>
      <c r="B42" s="8"/>
      <c r="C42" s="8"/>
      <c r="D42" s="8"/>
      <c r="E42" s="8"/>
      <c r="F42" s="8"/>
      <c r="G42" s="8"/>
      <c r="H42" s="8"/>
      <c r="I42" s="8"/>
    </row>
    <row r="43" spans="1:9" ht="16.5">
      <c r="A43" s="8"/>
      <c r="B43" s="8"/>
      <c r="C43" s="8"/>
      <c r="D43" s="8"/>
      <c r="E43" s="8"/>
      <c r="F43" s="8"/>
      <c r="G43" s="8"/>
      <c r="H43" s="8"/>
      <c r="I43" s="8"/>
    </row>
    <row r="44" spans="1:9" ht="16.5">
      <c r="A44" s="8"/>
      <c r="B44" s="8"/>
      <c r="C44" s="8"/>
      <c r="D44" s="8"/>
      <c r="E44" s="8"/>
      <c r="F44" s="8"/>
      <c r="G44" s="8"/>
      <c r="H44" s="8"/>
      <c r="I44" s="8"/>
    </row>
    <row r="45" spans="1:9" ht="16.5">
      <c r="A45" s="8"/>
      <c r="B45" s="8"/>
      <c r="C45" s="8"/>
      <c r="D45" s="8"/>
      <c r="E45" s="8"/>
      <c r="F45" s="8"/>
      <c r="G45" s="8"/>
      <c r="H45" s="8"/>
      <c r="I45" s="8"/>
    </row>
    <row r="46" spans="1:9" ht="16.5">
      <c r="A46" s="8"/>
      <c r="B46" s="8"/>
      <c r="C46" s="8"/>
      <c r="D46" s="8"/>
      <c r="E46" s="8"/>
      <c r="F46" s="8"/>
      <c r="G46" s="8"/>
      <c r="H46" s="8"/>
      <c r="I46" s="8"/>
    </row>
    <row r="47" spans="1:9" ht="16.5">
      <c r="A47" s="8"/>
      <c r="B47" s="8"/>
      <c r="C47" s="8"/>
      <c r="D47" s="8"/>
      <c r="E47" s="8"/>
      <c r="F47" s="8"/>
      <c r="G47" s="8"/>
      <c r="H47" s="8"/>
      <c r="I47" s="8"/>
    </row>
    <row r="48" spans="1:9" ht="16.5">
      <c r="A48" s="8"/>
      <c r="B48" s="8"/>
      <c r="C48" s="8"/>
      <c r="D48" s="8"/>
      <c r="E48" s="8"/>
      <c r="F48" s="8"/>
      <c r="G48" s="8"/>
      <c r="H48" s="8"/>
      <c r="I48" s="8"/>
    </row>
    <row r="49" spans="1:9" ht="16.5">
      <c r="A49" s="8"/>
      <c r="B49" s="8"/>
      <c r="C49" s="8"/>
      <c r="D49" s="8"/>
      <c r="E49" s="8"/>
      <c r="F49" s="8"/>
      <c r="G49" s="8"/>
      <c r="H49" s="8"/>
      <c r="I49" s="8"/>
    </row>
    <row r="50" spans="1:9" ht="16.5">
      <c r="A50" s="8"/>
      <c r="B50" s="8"/>
      <c r="C50" s="8"/>
      <c r="D50" s="8"/>
      <c r="E50" s="8"/>
      <c r="F50" s="8"/>
      <c r="G50" s="8"/>
      <c r="H50" s="8"/>
      <c r="I50" s="8"/>
    </row>
    <row r="51" spans="1:9" ht="16.5">
      <c r="A51" s="8"/>
      <c r="B51" s="8"/>
      <c r="C51" s="8"/>
      <c r="D51" s="8"/>
      <c r="E51" s="8"/>
      <c r="F51" s="8"/>
      <c r="G51" s="8"/>
      <c r="H51" s="8"/>
      <c r="I51" s="8"/>
    </row>
    <row r="52" spans="1:9" ht="16.5">
      <c r="A52" s="8"/>
      <c r="B52" s="8"/>
      <c r="C52" s="8"/>
      <c r="D52" s="8"/>
      <c r="E52" s="8"/>
      <c r="F52" s="8"/>
      <c r="G52" s="8"/>
      <c r="H52" s="8"/>
      <c r="I52" s="8"/>
    </row>
    <row r="53" spans="1:9" ht="16.5">
      <c r="A53" s="8"/>
      <c r="B53" s="8"/>
      <c r="C53" s="8"/>
      <c r="D53" s="8"/>
      <c r="E53" s="8"/>
      <c r="F53" s="8"/>
      <c r="G53" s="8"/>
      <c r="H53" s="8"/>
      <c r="I53" s="8"/>
    </row>
    <row r="54" spans="1:9" ht="16.5">
      <c r="A54" s="8"/>
      <c r="B54" s="8"/>
      <c r="C54" s="8"/>
      <c r="D54" s="8"/>
      <c r="E54" s="8"/>
      <c r="F54" s="8"/>
      <c r="G54" s="8"/>
      <c r="H54" s="8"/>
      <c r="I54" s="8"/>
    </row>
    <row r="55" spans="1:9" ht="16.5">
      <c r="A55" s="8"/>
      <c r="B55" s="8"/>
      <c r="C55" s="8"/>
      <c r="D55" s="8"/>
      <c r="E55" s="8"/>
      <c r="F55" s="8"/>
      <c r="G55" s="8"/>
      <c r="H55" s="8"/>
      <c r="I55" s="8"/>
    </row>
    <row r="56" spans="1:9" ht="16.5">
      <c r="A56" s="8"/>
      <c r="B56" s="8"/>
      <c r="C56" s="8"/>
      <c r="D56" s="8"/>
      <c r="E56" s="8"/>
      <c r="F56" s="8"/>
      <c r="G56" s="8"/>
      <c r="H56" s="8"/>
      <c r="I56" s="8"/>
    </row>
    <row r="57" spans="1:9" ht="16.5">
      <c r="A57" s="8"/>
      <c r="B57" s="8"/>
      <c r="C57" s="8"/>
      <c r="D57" s="8"/>
      <c r="E57" s="8"/>
      <c r="F57" s="8"/>
      <c r="G57" s="8"/>
      <c r="H57" s="8"/>
      <c r="I57" s="8"/>
    </row>
    <row r="58" spans="1:9" ht="16.5">
      <c r="A58" s="8"/>
      <c r="B58" s="8"/>
      <c r="C58" s="8"/>
      <c r="D58" s="8"/>
      <c r="E58" s="8"/>
      <c r="F58" s="8"/>
      <c r="G58" s="8"/>
      <c r="H58" s="8"/>
      <c r="I58" s="8"/>
    </row>
    <row r="59" spans="1:9" ht="16.5">
      <c r="A59" s="8"/>
      <c r="B59" s="8"/>
      <c r="C59" s="8"/>
      <c r="D59" s="8"/>
      <c r="E59" s="8"/>
      <c r="F59" s="8"/>
      <c r="G59" s="8"/>
      <c r="H59" s="8"/>
      <c r="I59" s="8"/>
    </row>
    <row r="60" spans="1:9" ht="16.5">
      <c r="A60" s="8"/>
      <c r="B60" s="8"/>
      <c r="C60" s="8"/>
      <c r="D60" s="8"/>
      <c r="E60" s="8"/>
      <c r="F60" s="8"/>
      <c r="G60" s="8"/>
      <c r="H60" s="8"/>
      <c r="I60" s="8"/>
    </row>
    <row r="61" spans="1:9" ht="16.5">
      <c r="A61" s="8"/>
      <c r="B61" s="8"/>
      <c r="C61" s="8"/>
      <c r="D61" s="8"/>
      <c r="E61" s="8"/>
      <c r="F61" s="8"/>
      <c r="G61" s="8"/>
      <c r="H61" s="8"/>
      <c r="I61" s="8"/>
    </row>
    <row r="62" spans="1:9" ht="16.5">
      <c r="A62" s="8"/>
      <c r="B62" s="8"/>
      <c r="C62" s="8"/>
      <c r="D62" s="8"/>
      <c r="E62" s="8"/>
      <c r="F62" s="8"/>
      <c r="G62" s="8"/>
      <c r="H62" s="8"/>
      <c r="I62" s="8"/>
    </row>
    <row r="63" spans="1:9" ht="16.5">
      <c r="A63" s="8"/>
      <c r="B63" s="8"/>
      <c r="C63" s="8"/>
      <c r="D63" s="8"/>
      <c r="E63" s="8"/>
      <c r="F63" s="8"/>
      <c r="G63" s="8"/>
      <c r="H63" s="8"/>
      <c r="I63" s="8"/>
    </row>
    <row r="64" spans="1:9" ht="16.5">
      <c r="A64" s="8"/>
      <c r="B64" s="8"/>
      <c r="C64" s="8"/>
      <c r="D64" s="8"/>
      <c r="E64" s="8"/>
      <c r="F64" s="8"/>
      <c r="G64" s="8"/>
      <c r="H64" s="8"/>
      <c r="I64" s="8"/>
    </row>
    <row r="65" spans="1:9" ht="16.5">
      <c r="A65" s="8"/>
      <c r="B65" s="8"/>
      <c r="C65" s="8"/>
      <c r="D65" s="8"/>
      <c r="E65" s="8"/>
      <c r="F65" s="8"/>
      <c r="G65" s="8"/>
      <c r="H65" s="8"/>
      <c r="I65" s="8"/>
    </row>
    <row r="66" spans="1:9" ht="16.5">
      <c r="A66" s="8"/>
      <c r="B66" s="8"/>
      <c r="C66" s="8"/>
      <c r="D66" s="8"/>
      <c r="E66" s="8"/>
      <c r="F66" s="8"/>
      <c r="G66" s="8"/>
      <c r="H66" s="8"/>
      <c r="I66" s="8"/>
    </row>
    <row r="67" spans="1:9" ht="16.5">
      <c r="A67" s="8"/>
      <c r="B67" s="8"/>
      <c r="C67" s="8"/>
      <c r="D67" s="8"/>
      <c r="E67" s="8"/>
      <c r="F67" s="8"/>
      <c r="G67" s="8"/>
      <c r="H67" s="8"/>
      <c r="I67" s="8"/>
    </row>
    <row r="68" spans="1:9" ht="16.5">
      <c r="A68" s="8"/>
      <c r="B68" s="8"/>
      <c r="C68" s="8"/>
      <c r="D68" s="8"/>
      <c r="E68" s="8"/>
      <c r="F68" s="8"/>
      <c r="G68" s="8"/>
      <c r="H68" s="8"/>
      <c r="I68" s="8"/>
    </row>
    <row r="69" spans="1:9" ht="16.5">
      <c r="A69" s="8"/>
      <c r="B69" s="8"/>
      <c r="C69" s="8"/>
      <c r="D69" s="8"/>
      <c r="E69" s="8"/>
      <c r="F69" s="8"/>
      <c r="G69" s="8"/>
      <c r="H69" s="8"/>
      <c r="I69" s="8"/>
    </row>
    <row r="70" spans="1:9" ht="16.5">
      <c r="A70" s="8"/>
      <c r="B70" s="8"/>
      <c r="C70" s="8"/>
      <c r="D70" s="8"/>
      <c r="E70" s="8"/>
      <c r="F70" s="8"/>
      <c r="G70" s="8"/>
      <c r="H70" s="8"/>
      <c r="I70" s="8"/>
    </row>
    <row r="71" spans="1:9" ht="16.5">
      <c r="A71" s="8"/>
      <c r="B71" s="8"/>
      <c r="C71" s="8"/>
      <c r="D71" s="8"/>
      <c r="E71" s="8"/>
      <c r="F71" s="8"/>
      <c r="G71" s="8"/>
      <c r="H71" s="8"/>
      <c r="I71" s="8"/>
    </row>
    <row r="72" spans="1:9" ht="16.5">
      <c r="A72" s="8"/>
      <c r="B72" s="8"/>
      <c r="C72" s="8"/>
      <c r="D72" s="8"/>
      <c r="E72" s="8"/>
      <c r="F72" s="8"/>
      <c r="G72" s="8"/>
      <c r="H72" s="8"/>
      <c r="I72" s="8"/>
    </row>
    <row r="73" spans="1:9" ht="16.5">
      <c r="A73" s="8"/>
      <c r="B73" s="8"/>
      <c r="C73" s="8"/>
      <c r="D73" s="8"/>
      <c r="E73" s="8"/>
      <c r="F73" s="8"/>
      <c r="G73" s="8"/>
      <c r="H73" s="8"/>
      <c r="I73" s="8"/>
    </row>
    <row r="74" spans="1:9" ht="16.5">
      <c r="A74" s="8"/>
      <c r="B74" s="8"/>
      <c r="C74" s="8"/>
      <c r="D74" s="8"/>
      <c r="E74" s="8"/>
      <c r="F74" s="8"/>
      <c r="G74" s="8"/>
      <c r="H74" s="8"/>
      <c r="I74" s="8"/>
    </row>
    <row r="75" spans="1:9" ht="16.5">
      <c r="A75" s="8"/>
      <c r="B75" s="8"/>
      <c r="C75" s="8"/>
      <c r="D75" s="8"/>
      <c r="E75" s="8"/>
      <c r="F75" s="8"/>
      <c r="G75" s="8"/>
      <c r="H75" s="8"/>
      <c r="I75" s="8"/>
    </row>
    <row r="76" spans="1:9" ht="16.5">
      <c r="A76" s="8"/>
      <c r="B76" s="8"/>
      <c r="C76" s="8"/>
      <c r="D76" s="8"/>
      <c r="E76" s="8"/>
      <c r="F76" s="8"/>
      <c r="G76" s="8"/>
      <c r="H76" s="8"/>
      <c r="I76" s="8"/>
    </row>
    <row r="77" spans="1:9" ht="16.5">
      <c r="A77" s="8"/>
      <c r="B77" s="8"/>
      <c r="C77" s="8"/>
      <c r="D77" s="8"/>
      <c r="E77" s="8"/>
      <c r="F77" s="8"/>
      <c r="G77" s="8"/>
      <c r="H77" s="8"/>
      <c r="I77" s="8"/>
    </row>
    <row r="78" spans="1:9" ht="16.5">
      <c r="A78" s="8"/>
      <c r="B78" s="8"/>
      <c r="C78" s="8"/>
      <c r="D78" s="8"/>
      <c r="E78" s="8"/>
      <c r="F78" s="8"/>
      <c r="G78" s="8"/>
      <c r="H78" s="8"/>
      <c r="I78" s="8"/>
    </row>
    <row r="79" spans="1:9" ht="16.5">
      <c r="A79" s="8"/>
      <c r="B79" s="8"/>
      <c r="C79" s="8"/>
      <c r="D79" s="8"/>
      <c r="E79" s="8"/>
      <c r="F79" s="8"/>
      <c r="G79" s="8"/>
      <c r="H79" s="8"/>
      <c r="I79" s="8"/>
    </row>
    <row r="80" spans="1:9" ht="16.5">
      <c r="A80" s="8"/>
      <c r="B80" s="8"/>
      <c r="C80" s="8"/>
      <c r="D80" s="8"/>
      <c r="E80" s="8"/>
      <c r="F80" s="8"/>
      <c r="G80" s="8"/>
      <c r="H80" s="8"/>
      <c r="I80" s="8"/>
    </row>
    <row r="81" spans="1:9" ht="16.5">
      <c r="A81" s="8"/>
      <c r="B81" s="8"/>
      <c r="C81" s="8"/>
      <c r="D81" s="8"/>
      <c r="E81" s="8"/>
      <c r="F81" s="8"/>
      <c r="G81" s="8"/>
      <c r="H81" s="8"/>
      <c r="I81" s="8"/>
    </row>
    <row r="82" spans="1:9" ht="16.5">
      <c r="A82" s="8"/>
      <c r="B82" s="8"/>
      <c r="C82" s="8"/>
      <c r="D82" s="8"/>
      <c r="E82" s="8"/>
      <c r="F82" s="8"/>
      <c r="G82" s="8"/>
      <c r="H82" s="8"/>
      <c r="I82" s="8"/>
    </row>
    <row r="83" spans="1:9" ht="16.5">
      <c r="A83" s="8"/>
      <c r="B83" s="8"/>
      <c r="C83" s="8"/>
      <c r="D83" s="8"/>
      <c r="E83" s="8"/>
      <c r="F83" s="8"/>
      <c r="G83" s="8"/>
      <c r="H83" s="8"/>
      <c r="I83" s="8"/>
    </row>
    <row r="84" spans="1:9" ht="16.5">
      <c r="A84" s="8"/>
      <c r="B84" s="8"/>
      <c r="C84" s="8"/>
      <c r="D84" s="8"/>
      <c r="E84" s="8"/>
      <c r="F84" s="8"/>
      <c r="G84" s="8"/>
      <c r="H84" s="8"/>
      <c r="I84" s="8"/>
    </row>
    <row r="85" spans="1:9" ht="16.5">
      <c r="A85" s="8"/>
      <c r="B85" s="8"/>
      <c r="C85" s="8"/>
      <c r="D85" s="8"/>
      <c r="E85" s="8"/>
      <c r="F85" s="8"/>
      <c r="G85" s="8"/>
      <c r="H85" s="8"/>
      <c r="I85" s="8"/>
    </row>
    <row r="86" spans="1:9" ht="16.5">
      <c r="A86" s="8"/>
      <c r="B86" s="8"/>
      <c r="C86" s="8"/>
      <c r="D86" s="8"/>
      <c r="E86" s="8"/>
      <c r="F86" s="8"/>
      <c r="G86" s="8"/>
      <c r="H86" s="8"/>
      <c r="I86" s="8"/>
    </row>
    <row r="87" spans="1:9" ht="16.5">
      <c r="A87" s="8"/>
      <c r="B87" s="8"/>
      <c r="C87" s="8"/>
      <c r="D87" s="8"/>
      <c r="E87" s="8"/>
      <c r="F87" s="8"/>
      <c r="G87" s="8"/>
      <c r="H87" s="8"/>
      <c r="I87" s="8"/>
    </row>
    <row r="88" spans="1:9" ht="16.5">
      <c r="A88" s="8"/>
      <c r="B88" s="8"/>
      <c r="C88" s="8"/>
      <c r="D88" s="8"/>
      <c r="E88" s="8"/>
      <c r="F88" s="8"/>
      <c r="G88" s="8"/>
      <c r="H88" s="8"/>
      <c r="I88" s="8"/>
    </row>
    <row r="89" spans="1:9" ht="16.5">
      <c r="A89" s="8"/>
      <c r="B89" s="8"/>
      <c r="C89" s="8"/>
      <c r="D89" s="8"/>
      <c r="E89" s="8"/>
      <c r="F89" s="8"/>
      <c r="G89" s="8"/>
      <c r="H89" s="8"/>
      <c r="I89" s="8"/>
    </row>
    <row r="90" spans="1:9" ht="16.5">
      <c r="A90" s="8"/>
      <c r="B90" s="8"/>
      <c r="C90" s="8"/>
      <c r="D90" s="8"/>
      <c r="E90" s="8"/>
      <c r="F90" s="8"/>
      <c r="G90" s="8"/>
      <c r="H90" s="8"/>
      <c r="I90" s="8"/>
    </row>
    <row r="91" spans="1:9" ht="16.5">
      <c r="A91" s="8"/>
      <c r="B91" s="8"/>
      <c r="C91" s="8"/>
      <c r="D91" s="8"/>
      <c r="E91" s="8"/>
      <c r="F91" s="8"/>
      <c r="G91" s="8"/>
      <c r="H91" s="8"/>
      <c r="I91" s="8"/>
    </row>
    <row r="92" spans="1:9" ht="16.5">
      <c r="A92" s="8"/>
      <c r="B92" s="8"/>
      <c r="C92" s="8"/>
      <c r="D92" s="8"/>
      <c r="E92" s="8"/>
      <c r="F92" s="8"/>
      <c r="G92" s="8"/>
      <c r="H92" s="8"/>
      <c r="I92" s="8"/>
    </row>
    <row r="93" spans="1:9" ht="16.5">
      <c r="A93" s="8"/>
      <c r="B93" s="8"/>
      <c r="C93" s="8"/>
      <c r="D93" s="8"/>
      <c r="E93" s="8"/>
      <c r="F93" s="8"/>
      <c r="G93" s="8"/>
      <c r="H93" s="8"/>
      <c r="I93" s="8"/>
    </row>
    <row r="94" spans="1:9" ht="16.5">
      <c r="A94" s="8"/>
      <c r="B94" s="8"/>
      <c r="C94" s="8"/>
      <c r="D94" s="8"/>
      <c r="E94" s="8"/>
      <c r="F94" s="8"/>
      <c r="G94" s="8"/>
      <c r="H94" s="8"/>
      <c r="I94" s="8"/>
    </row>
    <row r="95" spans="1:9" ht="16.5">
      <c r="A95" s="8"/>
      <c r="B95" s="8"/>
      <c r="C95" s="8"/>
      <c r="D95" s="8"/>
      <c r="E95" s="8"/>
      <c r="F95" s="8"/>
      <c r="G95" s="8"/>
      <c r="H95" s="8"/>
      <c r="I95" s="8"/>
    </row>
    <row r="96" spans="1:9" ht="16.5">
      <c r="A96" s="8"/>
      <c r="B96" s="8"/>
      <c r="C96" s="8"/>
      <c r="D96" s="8"/>
      <c r="E96" s="8"/>
      <c r="F96" s="8"/>
      <c r="G96" s="8"/>
      <c r="H96" s="8"/>
      <c r="I96" s="8"/>
    </row>
    <row r="97" spans="1:9" ht="16.5">
      <c r="A97" s="8"/>
      <c r="B97" s="8"/>
      <c r="C97" s="8"/>
      <c r="D97" s="8"/>
      <c r="E97" s="8"/>
      <c r="F97" s="8"/>
      <c r="G97" s="8"/>
      <c r="H97" s="8"/>
      <c r="I97" s="8"/>
    </row>
    <row r="98" spans="1:9" ht="16.5">
      <c r="A98" s="8"/>
      <c r="B98" s="8"/>
      <c r="C98" s="8"/>
      <c r="D98" s="8"/>
      <c r="E98" s="8"/>
      <c r="F98" s="8"/>
      <c r="G98" s="8"/>
      <c r="H98" s="8"/>
      <c r="I98" s="8"/>
    </row>
    <row r="99" spans="1:9" ht="16.5">
      <c r="A99" s="8"/>
      <c r="B99" s="8"/>
      <c r="C99" s="8"/>
      <c r="D99" s="8"/>
      <c r="E99" s="8"/>
      <c r="F99" s="8"/>
      <c r="G99" s="8"/>
      <c r="H99" s="8"/>
      <c r="I99" s="8"/>
    </row>
    <row r="100" spans="1:9" ht="16.5">
      <c r="A100" s="8"/>
      <c r="B100" s="8"/>
      <c r="C100" s="8"/>
      <c r="D100" s="8"/>
      <c r="E100" s="8"/>
      <c r="F100" s="8"/>
      <c r="G100" s="8"/>
      <c r="H100" s="8"/>
      <c r="I100" s="8"/>
    </row>
    <row r="101" spans="1:9" ht="16.5">
      <c r="A101" s="8"/>
      <c r="B101" s="8"/>
      <c r="C101" s="8"/>
      <c r="D101" s="8"/>
      <c r="E101" s="8"/>
      <c r="F101" s="8"/>
      <c r="G101" s="8"/>
      <c r="H101" s="8"/>
      <c r="I101" s="8"/>
    </row>
    <row r="102" spans="1:9" ht="16.5">
      <c r="A102" s="8"/>
      <c r="B102" s="8"/>
      <c r="C102" s="8"/>
      <c r="D102" s="8"/>
      <c r="E102" s="8"/>
      <c r="F102" s="8"/>
      <c r="G102" s="8"/>
      <c r="H102" s="8"/>
      <c r="I102" s="8"/>
    </row>
    <row r="103" spans="1:9" ht="16.5">
      <c r="A103" s="8"/>
      <c r="B103" s="8"/>
      <c r="C103" s="8"/>
      <c r="D103" s="8"/>
      <c r="E103" s="8"/>
      <c r="F103" s="8"/>
      <c r="G103" s="8"/>
      <c r="H103" s="8"/>
      <c r="I103" s="8"/>
    </row>
    <row r="104" spans="1:9" ht="16.5">
      <c r="A104" s="8"/>
      <c r="B104" s="8"/>
      <c r="C104" s="8"/>
      <c r="D104" s="8"/>
      <c r="E104" s="8"/>
      <c r="F104" s="8"/>
      <c r="G104" s="8"/>
      <c r="H104" s="8"/>
      <c r="I104" s="8"/>
    </row>
    <row r="105" spans="1:9" ht="16.5">
      <c r="A105" s="8"/>
      <c r="B105" s="8"/>
      <c r="C105" s="8"/>
      <c r="D105" s="8"/>
      <c r="E105" s="8"/>
      <c r="F105" s="8"/>
      <c r="G105" s="8"/>
      <c r="H105" s="8"/>
      <c r="I105" s="8"/>
    </row>
  </sheetData>
  <pageMargins left="0.25" right="0.25" top="0.75" bottom="0.75" header="0.3" footer="0.3"/>
  <pageSetup scale="4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8509-4469-4CA1-837E-28DCE856C1A1}">
  <sheetPr>
    <tabColor rgb="FF92D050"/>
  </sheetPr>
  <dimension ref="A1:N42"/>
  <sheetViews>
    <sheetView view="pageBreakPreview" zoomScale="60" zoomScaleNormal="80" workbookViewId="0">
      <selection activeCell="E4" sqref="E4"/>
    </sheetView>
  </sheetViews>
  <sheetFormatPr defaultRowHeight="15"/>
  <cols>
    <col min="1" max="1" width="21.5703125" customWidth="1"/>
    <col min="2" max="2" width="45.7109375" customWidth="1"/>
    <col min="3" max="3" width="20.85546875" customWidth="1"/>
    <col min="4" max="4" width="24" customWidth="1"/>
    <col min="5" max="5" width="29.28515625" customWidth="1"/>
    <col min="6" max="6" width="26.42578125" customWidth="1"/>
    <col min="7" max="7" width="23" customWidth="1"/>
    <col min="8" max="8" width="27.28515625" customWidth="1"/>
    <col min="9" max="9" width="29.42578125" customWidth="1"/>
    <col min="10" max="10" width="21.28515625" customWidth="1"/>
    <col min="11" max="11" width="4.42578125" customWidth="1"/>
    <col min="12" max="12" width="22.7109375" customWidth="1"/>
    <col min="13" max="13" width="17.28515625" customWidth="1"/>
  </cols>
  <sheetData>
    <row r="1" spans="1:14" ht="26.25">
      <c r="A1" s="19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7.25">
      <c r="A2" s="56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6.5">
      <c r="A3" s="21" t="s">
        <v>457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16.5">
      <c r="A4" s="8"/>
      <c r="C4" s="8"/>
      <c r="D4" s="8"/>
      <c r="E4" s="479" t="s">
        <v>0</v>
      </c>
      <c r="F4" s="8"/>
      <c r="G4" s="8"/>
      <c r="H4" s="8"/>
      <c r="I4" s="8"/>
      <c r="J4" s="8"/>
      <c r="K4" s="8"/>
      <c r="L4" s="8"/>
      <c r="M4" s="8"/>
      <c r="N4" s="8"/>
    </row>
    <row r="5" spans="1:14" ht="18" thickBot="1">
      <c r="A5" s="5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21" thickBot="1">
      <c r="A6" s="223" t="str">
        <f>+'S&amp;D'!A12</f>
        <v>Railroad Carriers</v>
      </c>
      <c r="B6" s="152"/>
      <c r="C6" s="8"/>
      <c r="D6" s="8"/>
      <c r="E6" s="8"/>
      <c r="F6" s="8"/>
      <c r="G6" s="8"/>
      <c r="H6" s="8"/>
    </row>
    <row r="7" spans="1:14" ht="18" thickBot="1">
      <c r="A7" s="56"/>
      <c r="C7" s="8"/>
      <c r="D7" s="24"/>
      <c r="E7" s="24"/>
      <c r="F7" s="24"/>
      <c r="G7" s="8"/>
      <c r="H7" s="8"/>
    </row>
    <row r="8" spans="1:14" ht="26.25">
      <c r="C8" s="8"/>
      <c r="D8" s="8"/>
      <c r="E8" s="26" t="s">
        <v>341</v>
      </c>
      <c r="F8" s="8"/>
      <c r="G8" s="8"/>
      <c r="H8" s="8"/>
    </row>
    <row r="9" spans="1:14" ht="21" thickBot="1">
      <c r="B9" s="25"/>
      <c r="C9" s="8"/>
      <c r="D9" s="24"/>
      <c r="E9" s="27" t="s">
        <v>470</v>
      </c>
      <c r="F9" s="24"/>
      <c r="G9" s="8"/>
      <c r="H9" s="8"/>
    </row>
    <row r="10" spans="1:14" ht="17.25" thickBot="1">
      <c r="B10" s="28" t="s">
        <v>0</v>
      </c>
      <c r="C10" s="28" t="s">
        <v>0</v>
      </c>
      <c r="D10" s="28" t="s">
        <v>0</v>
      </c>
      <c r="E10" s="28" t="s">
        <v>0</v>
      </c>
      <c r="F10" s="28" t="s">
        <v>0</v>
      </c>
      <c r="G10" s="28" t="s">
        <v>0</v>
      </c>
      <c r="H10" s="24"/>
      <c r="I10" s="129"/>
      <c r="J10" s="129"/>
    </row>
    <row r="11" spans="1:14" ht="16.5">
      <c r="B11" s="29" t="s">
        <v>0</v>
      </c>
      <c r="C11" s="29" t="s">
        <v>3</v>
      </c>
      <c r="D11" s="29" t="s">
        <v>321</v>
      </c>
      <c r="E11" s="325" t="s">
        <v>322</v>
      </c>
      <c r="F11" s="29" t="s">
        <v>220</v>
      </c>
      <c r="G11" s="29" t="s">
        <v>26</v>
      </c>
      <c r="H11" s="325" t="s">
        <v>340</v>
      </c>
      <c r="I11" s="29" t="s">
        <v>340</v>
      </c>
      <c r="J11" s="29" t="s">
        <v>26</v>
      </c>
    </row>
    <row r="12" spans="1:14" ht="17.25" thickBot="1">
      <c r="B12" s="31" t="s">
        <v>2</v>
      </c>
      <c r="C12" s="31" t="s">
        <v>4</v>
      </c>
      <c r="D12" s="31" t="s">
        <v>27</v>
      </c>
      <c r="E12" s="326" t="s">
        <v>158</v>
      </c>
      <c r="F12" s="31" t="s">
        <v>342</v>
      </c>
      <c r="G12" s="31" t="s">
        <v>29</v>
      </c>
      <c r="H12" s="326" t="s">
        <v>368</v>
      </c>
      <c r="I12" s="31" t="s">
        <v>28</v>
      </c>
      <c r="J12" s="31" t="s">
        <v>29</v>
      </c>
    </row>
    <row r="13" spans="1:14">
      <c r="B13" s="33" t="s">
        <v>0</v>
      </c>
      <c r="C13" s="33" t="s">
        <v>0</v>
      </c>
      <c r="D13" s="34" t="s">
        <v>113</v>
      </c>
      <c r="E13" s="327" t="s">
        <v>114</v>
      </c>
      <c r="F13" s="33" t="s">
        <v>0</v>
      </c>
      <c r="G13" s="33" t="s">
        <v>0</v>
      </c>
      <c r="H13" s="327" t="s">
        <v>114</v>
      </c>
      <c r="I13" s="33" t="s">
        <v>0</v>
      </c>
      <c r="J13" s="33" t="s">
        <v>0</v>
      </c>
    </row>
    <row r="14" spans="1:14" ht="16.5">
      <c r="B14" s="29"/>
      <c r="C14" s="29"/>
      <c r="D14" s="29"/>
      <c r="E14" s="320"/>
      <c r="F14" s="29"/>
      <c r="G14" s="29"/>
      <c r="H14" s="328"/>
      <c r="I14" s="29"/>
      <c r="J14" s="29"/>
    </row>
    <row r="15" spans="1:14" ht="16.5">
      <c r="B15" s="8"/>
      <c r="C15" s="8"/>
      <c r="D15" s="8"/>
      <c r="E15" s="318"/>
      <c r="F15" s="8"/>
      <c r="H15" s="318"/>
      <c r="I15" s="8"/>
    </row>
    <row r="16" spans="1:14" ht="17.25">
      <c r="B16" s="56" t="str">
        <f>+'S&amp;D'!A22</f>
        <v>Canadian National</v>
      </c>
      <c r="C16" s="83" t="str">
        <f>+'S&amp;D'!B22</f>
        <v>CNI</v>
      </c>
      <c r="D16" s="150">
        <f>+'S&amp;D'!G22</f>
        <v>98.85</v>
      </c>
      <c r="E16" s="321">
        <v>22.35</v>
      </c>
      <c r="F16" s="329">
        <f>D16/E16</f>
        <v>4.422818791946308</v>
      </c>
      <c r="G16" s="50">
        <f t="shared" ref="G16:G20" si="0">1/F16</f>
        <v>0.22610015174506831</v>
      </c>
      <c r="H16" s="321">
        <v>27.35</v>
      </c>
      <c r="I16" s="329">
        <f>D16/H16</f>
        <v>3.6142595978062153</v>
      </c>
      <c r="J16" s="50">
        <f t="shared" ref="J16:J20" si="1">1/I16</f>
        <v>0.2766818411734952</v>
      </c>
    </row>
    <row r="17" spans="1:10" ht="17.25">
      <c r="B17" s="56" t="str">
        <f>+'S&amp;D'!A23</f>
        <v>Canadian Pacific Kansas City Limited  CPKC</v>
      </c>
      <c r="C17" s="83" t="str">
        <f>+'S&amp;D'!B23</f>
        <v>CP</v>
      </c>
      <c r="D17" s="150">
        <f>+'S&amp;D'!G23</f>
        <v>73.63</v>
      </c>
      <c r="E17" s="321">
        <v>13.85</v>
      </c>
      <c r="F17" s="329">
        <f t="shared" ref="F17:F20" si="2">D17/E17</f>
        <v>5.316245487364621</v>
      </c>
      <c r="G17" s="50">
        <f t="shared" si="0"/>
        <v>0.18810267553986146</v>
      </c>
      <c r="H17" s="321">
        <v>40.6</v>
      </c>
      <c r="I17" s="329">
        <f>D17/H17</f>
        <v>1.8135467980295565</v>
      </c>
      <c r="J17" s="50">
        <f t="shared" si="1"/>
        <v>0.55140567703381782</v>
      </c>
    </row>
    <row r="18" spans="1:10" ht="17.25">
      <c r="B18" s="56" t="str">
        <f>+'S&amp;D'!A24</f>
        <v>CSX Corp</v>
      </c>
      <c r="C18" s="83" t="str">
        <f>+'S&amp;D'!B24</f>
        <v>CSX</v>
      </c>
      <c r="D18" s="150">
        <f>+'S&amp;D'!G24</f>
        <v>36.25</v>
      </c>
      <c r="E18" s="321">
        <v>8.15</v>
      </c>
      <c r="F18" s="329">
        <f t="shared" si="2"/>
        <v>4.447852760736196</v>
      </c>
      <c r="G18" s="50">
        <f t="shared" si="0"/>
        <v>0.22482758620689658</v>
      </c>
      <c r="H18" s="321">
        <v>7.5</v>
      </c>
      <c r="I18" s="329">
        <f>D18/H18</f>
        <v>4.833333333333333</v>
      </c>
      <c r="J18" s="50">
        <f t="shared" si="1"/>
        <v>0.20689655172413796</v>
      </c>
    </row>
    <row r="19" spans="1:10" ht="17.25">
      <c r="B19" s="56" t="str">
        <f>+'S&amp;D'!A25</f>
        <v>Norfolk Southern</v>
      </c>
      <c r="C19" s="83" t="str">
        <f>+'S&amp;D'!B25</f>
        <v>NSC</v>
      </c>
      <c r="D19" s="150">
        <f>+'S&amp;D'!G25</f>
        <v>288.72000000000003</v>
      </c>
      <c r="E19" s="321">
        <v>55.8</v>
      </c>
      <c r="F19" s="329">
        <f t="shared" si="2"/>
        <v>5.1741935483870973</v>
      </c>
      <c r="G19" s="50">
        <f t="shared" si="0"/>
        <v>0.19326683291770572</v>
      </c>
      <c r="H19" s="321">
        <v>76.55</v>
      </c>
      <c r="I19" s="329">
        <f>D19/H19</f>
        <v>3.7716525146962776</v>
      </c>
      <c r="J19" s="50">
        <f t="shared" si="1"/>
        <v>0.26513577168190627</v>
      </c>
    </row>
    <row r="20" spans="1:10" ht="17.25">
      <c r="B20" s="56" t="str">
        <f>+'S&amp;D'!A26</f>
        <v>Union Pacific Railroad</v>
      </c>
      <c r="C20" s="83" t="str">
        <f>+'S&amp;D'!B26</f>
        <v>UNP</v>
      </c>
      <c r="D20" s="150">
        <f>+'S&amp;D'!G26</f>
        <v>231.32</v>
      </c>
      <c r="E20" s="321">
        <v>43</v>
      </c>
      <c r="F20" s="329">
        <f t="shared" si="2"/>
        <v>5.3795348837209298</v>
      </c>
      <c r="G20" s="50">
        <f t="shared" si="0"/>
        <v>0.18588967663842298</v>
      </c>
      <c r="H20" s="321">
        <v>37.950000000000003</v>
      </c>
      <c r="I20" s="329">
        <f>D20/H20</f>
        <v>6.0953886693017125</v>
      </c>
      <c r="J20" s="50">
        <f t="shared" si="1"/>
        <v>0.16405844717274773</v>
      </c>
    </row>
    <row r="21" spans="1:10" ht="11.25" customHeight="1" thickBot="1">
      <c r="B21" s="8"/>
      <c r="C21" s="63"/>
      <c r="D21" s="63"/>
      <c r="E21" s="322"/>
      <c r="F21" s="330"/>
      <c r="G21" s="331"/>
      <c r="H21" s="322"/>
      <c r="I21" s="330"/>
      <c r="J21" s="331"/>
    </row>
    <row r="22" spans="1:10" ht="17.25" thickTop="1">
      <c r="B22" s="8"/>
      <c r="D22" s="10" t="s">
        <v>46</v>
      </c>
      <c r="E22" s="323">
        <f t="shared" ref="E22" si="3">MAX(E16:E20)</f>
        <v>55.8</v>
      </c>
      <c r="F22" s="64">
        <f>MAX(F16:F20)</f>
        <v>5.3795348837209298</v>
      </c>
      <c r="G22" s="46">
        <f t="shared" ref="G22:J22" si="4">MAX(G16:G20)</f>
        <v>0.22610015174506831</v>
      </c>
      <c r="H22" s="323">
        <f t="shared" si="4"/>
        <v>76.55</v>
      </c>
      <c r="I22" s="64">
        <f t="shared" si="4"/>
        <v>6.0953886693017125</v>
      </c>
      <c r="J22" s="46">
        <f t="shared" si="4"/>
        <v>0.55140567703381782</v>
      </c>
    </row>
    <row r="23" spans="1:10" ht="16.5">
      <c r="B23" s="8"/>
      <c r="D23" s="284" t="s">
        <v>47</v>
      </c>
      <c r="E23" s="324">
        <f t="shared" ref="E23" si="5">MIN(E16:E20)</f>
        <v>8.15</v>
      </c>
      <c r="F23" s="288">
        <f>MIN(F16:F20)</f>
        <v>4.422818791946308</v>
      </c>
      <c r="G23" s="285">
        <f t="shared" ref="G23:J23" si="6">MIN(G16:G20)</f>
        <v>0.18588967663842298</v>
      </c>
      <c r="H23" s="324">
        <f t="shared" si="6"/>
        <v>7.5</v>
      </c>
      <c r="I23" s="288">
        <f t="shared" si="6"/>
        <v>1.8135467980295565</v>
      </c>
      <c r="J23" s="285">
        <f t="shared" si="6"/>
        <v>0.16405844717274773</v>
      </c>
    </row>
    <row r="24" spans="1:10" ht="16.5">
      <c r="B24" s="8"/>
      <c r="D24" s="10" t="s">
        <v>18</v>
      </c>
      <c r="E24" s="15">
        <f t="shared" ref="E24:J24" si="7">MEDIAN(E16:E20)</f>
        <v>22.35</v>
      </c>
      <c r="F24" s="15">
        <f t="shared" si="7"/>
        <v>5.1741935483870973</v>
      </c>
      <c r="G24" s="50">
        <f t="shared" si="7"/>
        <v>0.19326683291770572</v>
      </c>
      <c r="H24" s="14">
        <f t="shared" si="7"/>
        <v>37.950000000000003</v>
      </c>
      <c r="I24" s="14">
        <f t="shared" si="7"/>
        <v>3.7716525146962776</v>
      </c>
      <c r="J24" s="50">
        <f t="shared" si="7"/>
        <v>0.26513577168190627</v>
      </c>
    </row>
    <row r="25" spans="1:10" ht="16.5">
      <c r="B25" s="8"/>
      <c r="D25" s="10" t="s">
        <v>375</v>
      </c>
      <c r="E25" s="15">
        <f t="shared" ref="E25:J25" si="8">AVERAGE(E16:E20)</f>
        <v>28.630000000000003</v>
      </c>
      <c r="F25" s="15">
        <f t="shared" si="8"/>
        <v>4.9481290944310299</v>
      </c>
      <c r="G25" s="66">
        <f t="shared" si="8"/>
        <v>0.20363738460959099</v>
      </c>
      <c r="H25" s="14">
        <f t="shared" si="8"/>
        <v>37.989999999999995</v>
      </c>
      <c r="I25" s="14">
        <f t="shared" si="8"/>
        <v>4.025636182633419</v>
      </c>
      <c r="J25" s="66">
        <f t="shared" si="8"/>
        <v>0.29283565775722098</v>
      </c>
    </row>
    <row r="26" spans="1:10" ht="16.5">
      <c r="B26" s="8"/>
      <c r="C26" s="8"/>
      <c r="D26" s="8"/>
      <c r="E26" s="8"/>
      <c r="F26" s="8"/>
      <c r="H26" s="8"/>
      <c r="I26" s="8"/>
    </row>
    <row r="27" spans="1:10" ht="16.5">
      <c r="B27" s="8"/>
      <c r="C27" s="8"/>
      <c r="D27" s="8"/>
      <c r="E27" s="8"/>
      <c r="F27" s="8"/>
      <c r="H27" s="8"/>
      <c r="I27" s="8"/>
    </row>
    <row r="28" spans="1:10" ht="17.25" thickBot="1">
      <c r="B28" s="8"/>
      <c r="C28" s="8"/>
      <c r="D28" s="8"/>
      <c r="E28" s="8"/>
      <c r="F28" s="8"/>
      <c r="I28" s="8"/>
    </row>
    <row r="29" spans="1:10" ht="27" thickBot="1">
      <c r="B29" s="68" t="s">
        <v>0</v>
      </c>
      <c r="C29" s="8"/>
      <c r="D29" s="19" t="s">
        <v>119</v>
      </c>
      <c r="E29" s="19"/>
      <c r="F29" s="197">
        <v>4.95</v>
      </c>
      <c r="I29" s="197">
        <v>4.03</v>
      </c>
    </row>
    <row r="30" spans="1:10" ht="16.5">
      <c r="B30" s="68" t="s">
        <v>0</v>
      </c>
      <c r="C30" s="8"/>
      <c r="D30" s="8"/>
      <c r="E30" s="8"/>
      <c r="F30" s="8"/>
      <c r="H30" s="8"/>
    </row>
    <row r="31" spans="1:10" ht="16.5">
      <c r="B31" s="68"/>
      <c r="C31" s="8"/>
      <c r="D31" s="8"/>
      <c r="E31" s="8"/>
      <c r="F31" s="8"/>
      <c r="H31" s="8"/>
    </row>
    <row r="32" spans="1:10" ht="17.25">
      <c r="A32" s="98" t="s">
        <v>343</v>
      </c>
      <c r="B32" s="68"/>
      <c r="C32" s="8"/>
      <c r="D32" s="8"/>
      <c r="E32" s="8"/>
      <c r="F32" s="8"/>
      <c r="H32" s="8"/>
    </row>
    <row r="33" spans="1:14" ht="17.25">
      <c r="A33" s="98" t="s">
        <v>326</v>
      </c>
      <c r="B33" s="68"/>
      <c r="C33" s="8"/>
      <c r="D33" s="8"/>
      <c r="E33" s="8"/>
      <c r="F33" s="8"/>
      <c r="G33" s="8"/>
      <c r="H33" s="8"/>
    </row>
    <row r="34" spans="1:14" ht="16.5">
      <c r="B34" s="68"/>
      <c r="C34" s="8"/>
      <c r="D34" s="8"/>
      <c r="E34" s="8"/>
      <c r="F34" s="8"/>
      <c r="G34" s="8"/>
      <c r="H34" s="8"/>
    </row>
    <row r="35" spans="1:14" ht="17.25">
      <c r="A35" s="98" t="s">
        <v>344</v>
      </c>
      <c r="B35" s="68"/>
      <c r="C35" s="8"/>
      <c r="D35" s="8"/>
      <c r="E35" s="8"/>
      <c r="F35" s="8"/>
      <c r="G35" s="8"/>
      <c r="H35" s="8"/>
    </row>
    <row r="36" spans="1:14" ht="17.25">
      <c r="A36" s="98" t="s">
        <v>324</v>
      </c>
      <c r="B36" s="68"/>
      <c r="C36" s="8"/>
      <c r="D36" s="8"/>
      <c r="E36" s="8"/>
      <c r="F36" s="8"/>
      <c r="G36" s="8"/>
      <c r="H36" s="8"/>
    </row>
    <row r="37" spans="1:14" ht="17.25">
      <c r="A37" s="98" t="s">
        <v>325</v>
      </c>
      <c r="B37" s="68"/>
      <c r="C37" s="8"/>
      <c r="D37" s="8"/>
      <c r="E37" s="8"/>
      <c r="F37" s="8"/>
      <c r="G37" s="8"/>
      <c r="H37" s="8"/>
    </row>
    <row r="38" spans="1:14" ht="16.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6.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1" spans="1:14">
      <c r="B41" s="308" t="s">
        <v>0</v>
      </c>
      <c r="D41" s="308" t="s">
        <v>0</v>
      </c>
      <c r="G41" s="308" t="s">
        <v>0</v>
      </c>
    </row>
    <row r="42" spans="1:14">
      <c r="B42" s="308" t="s">
        <v>0</v>
      </c>
      <c r="D42" s="308" t="s">
        <v>0</v>
      </c>
      <c r="G42" s="308" t="s">
        <v>0</v>
      </c>
    </row>
  </sheetData>
  <pageMargins left="0.25" right="0.25" top="0.75" bottom="0.75" header="0.3" footer="0.3"/>
  <pageSetup scale="4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"/>
  <sheetViews>
    <sheetView workbookViewId="0">
      <selection activeCell="S15" sqref="S15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FB36B36E7EE46B860E7832FBC9DDB" ma:contentTypeVersion="2" ma:contentTypeDescription="Create a new document." ma:contentTypeScope="" ma:versionID="ec2d75d9a8c4cef51587de69844c551b">
  <xsd:schema xmlns:xsd="http://www.w3.org/2001/XMLSchema" xmlns:xs="http://www.w3.org/2001/XMLSchema" xmlns:p="http://schemas.microsoft.com/office/2006/metadata/properties" xmlns:ns2="f94b9277-b0a3-4d91-bade-04ea91219630" targetNamespace="http://schemas.microsoft.com/office/2006/metadata/properties" ma:root="true" ma:fieldsID="f6cdb8ae0f1f69c1a84b5b8d147db9a2" ns2:_="">
    <xsd:import namespace="f94b9277-b0a3-4d91-bade-04ea9121963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b9277-b0a3-4d91-bade-04ea912196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D772F2-240C-4435-8CC0-765348C9A7D8}"/>
</file>

<file path=customXml/itemProps2.xml><?xml version="1.0" encoding="utf-8"?>
<ds:datastoreItem xmlns:ds="http://schemas.openxmlformats.org/officeDocument/2006/customXml" ds:itemID="{63D7D2B5-FFBC-473A-BF2D-1CDDE9436DB2}"/>
</file>

<file path=customXml/itemProps3.xml><?xml version="1.0" encoding="utf-8"?>
<ds:datastoreItem xmlns:ds="http://schemas.openxmlformats.org/officeDocument/2006/customXml" ds:itemID="{8E16E283-2E49-44C0-BD8D-8AD0DB5624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Cover Sheet</vt:lpstr>
      <vt:lpstr>Yield CapRate</vt:lpstr>
      <vt:lpstr>Direct CapRates</vt:lpstr>
      <vt:lpstr>S&amp;D</vt:lpstr>
      <vt:lpstr>Market to Book Ratios</vt:lpstr>
      <vt:lpstr>Maintenance CapEx</vt:lpstr>
      <vt:lpstr>Beta for CAPM</vt:lpstr>
      <vt:lpstr>Dividends </vt:lpstr>
      <vt:lpstr>Earnings</vt:lpstr>
      <vt:lpstr>Debt</vt:lpstr>
      <vt:lpstr>Direct GCF</vt:lpstr>
      <vt:lpstr>Direct NOPAT</vt:lpstr>
      <vt:lpstr>CAPM</vt:lpstr>
      <vt:lpstr>Growth &amp; Inflation Rates</vt:lpstr>
      <vt:lpstr>Indicated Yield Equity Rate </vt:lpstr>
      <vt:lpstr>Single Stage Div Growth Model</vt:lpstr>
      <vt:lpstr>Two-Stage Div Growth Model</vt:lpstr>
      <vt:lpstr>Multiples</vt:lpstr>
      <vt:lpstr>Info</vt:lpstr>
      <vt:lpstr>'Beta for CAPM'!Print_Area</vt:lpstr>
      <vt:lpstr>CAPM!Print_Area</vt:lpstr>
      <vt:lpstr>'Cover Sheet'!Print_Area</vt:lpstr>
      <vt:lpstr>Debt!Print_Area</vt:lpstr>
      <vt:lpstr>'Direct CapRates'!Print_Area</vt:lpstr>
      <vt:lpstr>'Direct GCF'!Print_Area</vt:lpstr>
      <vt:lpstr>'Direct NOPAT'!Print_Area</vt:lpstr>
      <vt:lpstr>'Dividends '!Print_Area</vt:lpstr>
      <vt:lpstr>Earnings!Print_Area</vt:lpstr>
      <vt:lpstr>'Growth &amp; Inflation Rates'!Print_Area</vt:lpstr>
      <vt:lpstr>'Indicated Yield Equity Rate '!Print_Area</vt:lpstr>
      <vt:lpstr>'Maintenance CapEx'!Print_Area</vt:lpstr>
      <vt:lpstr>'Market to Book Ratios'!Print_Area</vt:lpstr>
      <vt:lpstr>Multiples!Print_Area</vt:lpstr>
      <vt:lpstr>'S&amp;D'!Print_Area</vt:lpstr>
      <vt:lpstr>'Single Stage Div Growth Model'!Print_Area</vt:lpstr>
      <vt:lpstr>'Two-Stage Div Growth Model'!Print_Area</vt:lpstr>
      <vt:lpstr>'Yield CapRate'!Print_Area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Cap Rate Study - Railroads</dc:title>
  <dc:creator>%USERNAME%</dc:creator>
  <cp:lastModifiedBy>Sheeks, David (DOR)</cp:lastModifiedBy>
  <cp:lastPrinted>2026-09-14T14:26:46Z</cp:lastPrinted>
  <dcterms:created xsi:type="dcterms:W3CDTF">2016-02-12T19:29:24Z</dcterms:created>
  <dcterms:modified xsi:type="dcterms:W3CDTF">2026-09-21T13:09:13Z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0x01010019CFB36B36E7EE46B860E7832FBC9DDB</vt:lpwstr>
  </property>
</Properties>
</file>